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/>
  <mc:AlternateContent xmlns:mc="http://schemas.openxmlformats.org/markup-compatibility/2006">
    <mc:Choice Requires="x15">
      <x15ac:absPath xmlns:x15ac="http://schemas.microsoft.com/office/spreadsheetml/2010/11/ac" url="/Users/petrteply/Desktop/"/>
    </mc:Choice>
  </mc:AlternateContent>
  <xr:revisionPtr revIDLastSave="0" documentId="13_ncr:1_{B214D3F5-6D60-E74E-8C98-8DCB1ECC805A}" xr6:coauthVersionLast="47" xr6:coauthVersionMax="47" xr10:uidLastSave="{00000000-0000-0000-0000-000000000000}"/>
  <bookViews>
    <workbookView xWindow="34200" yWindow="0" windowWidth="68800" windowHeight="28800" xr2:uid="{0E232510-4C26-4E7A-B55D-D6A18138568C}"/>
  </bookViews>
  <sheets>
    <sheet name="ZÁKLADNÍ INFO" sheetId="1" r:id="rId1"/>
    <sheet name="vizualizace - stávající stav" sheetId="8" r:id="rId2"/>
    <sheet name="plochy_OFFICE" sheetId="6" r:id="rId3"/>
    <sheet name="HMG" sheetId="3" r:id="rId4"/>
    <sheet name="kalkulace_OFFICE" sheetId="5" r:id="rId5"/>
    <sheet name="kalkulace_VIZE" sheetId="4" r:id="rId6"/>
    <sheet name="zhodnocení investor_VIZE" sheetId="7" r:id="rId7"/>
  </sheets>
  <definedNames>
    <definedName name="Excel_BuiltIn__FilterDatabase_1">#REF!</definedName>
    <definedName name="Jednotky">#REF!</definedName>
    <definedName name="možnosti">#REF!:#REF!</definedName>
    <definedName name="_xlnm.Print_Area" localSheetId="3">HMG!$A$1:$BK$63</definedName>
    <definedName name="_xlnm.Print_Area" localSheetId="4">kalkulace_OFFICE!$B$1:$G$381</definedName>
    <definedName name="_xlnm.Print_Area" localSheetId="5">kalkulace_VIZE!$B$1:$G$379</definedName>
    <definedName name="_xlnm.Print_Area" localSheetId="2">plochy_OFFICE!$A$1:$AG$37</definedName>
    <definedName name="_xlnm.Print_Area" localSheetId="0">'ZÁKLADNÍ INFO'!$A$2:$P$50</definedName>
    <definedName name="vyber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" l="1"/>
  <c r="L43" i="5"/>
  <c r="L42" i="5"/>
  <c r="L39" i="5"/>
  <c r="L38" i="5"/>
  <c r="L37" i="5"/>
  <c r="L36" i="5"/>
  <c r="L35" i="5"/>
  <c r="L33" i="5"/>
  <c r="L30" i="5"/>
  <c r="L29" i="5"/>
  <c r="L27" i="5"/>
  <c r="L24" i="5"/>
  <c r="L22" i="5"/>
  <c r="L34" i="5"/>
  <c r="M27" i="5"/>
  <c r="O47" i="1"/>
  <c r="O48" i="1" s="1"/>
  <c r="O46" i="1"/>
  <c r="L47" i="1"/>
  <c r="L46" i="1"/>
  <c r="M27" i="4"/>
  <c r="L44" i="4"/>
  <c r="M42" i="4" s="1"/>
  <c r="L43" i="4"/>
  <c r="L31" i="4"/>
  <c r="M29" i="4" s="1"/>
  <c r="L44" i="5" l="1"/>
  <c r="M42" i="5" s="1"/>
  <c r="L40" i="5"/>
  <c r="M33" i="5" s="1"/>
  <c r="L31" i="5"/>
  <c r="M29" i="5" s="1"/>
  <c r="L48" i="1"/>
  <c r="L28" i="1"/>
  <c r="F13" i="1"/>
  <c r="F10" i="1" l="1"/>
  <c r="L30" i="1" l="1"/>
  <c r="O30" i="1"/>
  <c r="F12" i="1"/>
  <c r="F11" i="1"/>
  <c r="F15" i="1"/>
  <c r="F14" i="1"/>
  <c r="AA27" i="6" l="1"/>
  <c r="C27" i="6"/>
  <c r="L11" i="1" s="1"/>
  <c r="AG25" i="6"/>
  <c r="AG24" i="6"/>
  <c r="AG27" i="6" s="1"/>
  <c r="L17" i="1" s="1"/>
  <c r="AA22" i="6"/>
  <c r="Y22" i="6"/>
  <c r="O22" i="6"/>
  <c r="M22" i="6"/>
  <c r="I22" i="6"/>
  <c r="G22" i="6"/>
  <c r="E22" i="6"/>
  <c r="C22" i="6"/>
  <c r="AG20" i="6"/>
  <c r="U20" i="6"/>
  <c r="Q20" i="6"/>
  <c r="K20" i="6"/>
  <c r="S20" i="6" s="1"/>
  <c r="AG19" i="6"/>
  <c r="AC19" i="6"/>
  <c r="U19" i="6"/>
  <c r="W19" i="6" s="1"/>
  <c r="Q19" i="6"/>
  <c r="K19" i="6"/>
  <c r="S19" i="6" s="1"/>
  <c r="AG18" i="6"/>
  <c r="U18" i="6"/>
  <c r="W18" i="6" s="1"/>
  <c r="Q18" i="6"/>
  <c r="K18" i="6"/>
  <c r="AC18" i="6" s="1"/>
  <c r="AG17" i="6"/>
  <c r="U17" i="6"/>
  <c r="W17" i="6" s="1"/>
  <c r="Q17" i="6"/>
  <c r="K17" i="6"/>
  <c r="AC17" i="6" s="1"/>
  <c r="AG16" i="6"/>
  <c r="U16" i="6"/>
  <c r="W16" i="6" s="1"/>
  <c r="Q16" i="6"/>
  <c r="K16" i="6"/>
  <c r="S16" i="6" s="1"/>
  <c r="AG15" i="6"/>
  <c r="U15" i="6"/>
  <c r="W15" i="6" s="1"/>
  <c r="Q15" i="6"/>
  <c r="K15" i="6"/>
  <c r="AC15" i="6" s="1"/>
  <c r="AG14" i="6"/>
  <c r="U14" i="6"/>
  <c r="W14" i="6" s="1"/>
  <c r="Q14" i="6"/>
  <c r="K14" i="6"/>
  <c r="AC14" i="6" s="1"/>
  <c r="AG13" i="6"/>
  <c r="U13" i="6"/>
  <c r="W13" i="6" s="1"/>
  <c r="Q13" i="6"/>
  <c r="K13" i="6"/>
  <c r="S13" i="6" s="1"/>
  <c r="AG12" i="6"/>
  <c r="U12" i="6"/>
  <c r="W12" i="6" s="1"/>
  <c r="Q12" i="6"/>
  <c r="K12" i="6"/>
  <c r="AC12" i="6" s="1"/>
  <c r="AG11" i="6"/>
  <c r="U11" i="6"/>
  <c r="W11" i="6" s="1"/>
  <c r="Q11" i="6"/>
  <c r="K11" i="6"/>
  <c r="AG10" i="6"/>
  <c r="AG22" i="6" s="1"/>
  <c r="L16" i="1" s="1"/>
  <c r="U10" i="6"/>
  <c r="Q10" i="6"/>
  <c r="K10" i="6"/>
  <c r="S10" i="6" s="1"/>
  <c r="AC10" i="6" l="1"/>
  <c r="L10" i="1"/>
  <c r="O10" i="1"/>
  <c r="O49" i="1" s="1"/>
  <c r="L18" i="1"/>
  <c r="K22" i="6"/>
  <c r="AC16" i="6"/>
  <c r="AC13" i="6"/>
  <c r="Q22" i="6"/>
  <c r="U22" i="6"/>
  <c r="L14" i="1" s="1"/>
  <c r="S11" i="6"/>
  <c r="S14" i="6"/>
  <c r="S17" i="6"/>
  <c r="AC11" i="6"/>
  <c r="AC22" i="6" s="1"/>
  <c r="S12" i="6"/>
  <c r="S15" i="6"/>
  <c r="S18" i="6"/>
  <c r="W10" i="6"/>
  <c r="W22" i="6" s="1"/>
  <c r="L12" i="1" l="1"/>
  <c r="L49" i="1"/>
  <c r="S22" i="6"/>
  <c r="G387" i="5"/>
  <c r="G389" i="5" s="1"/>
  <c r="G390" i="5" s="1"/>
  <c r="E345" i="5"/>
  <c r="E344" i="5"/>
  <c r="E343" i="5"/>
  <c r="G337" i="5"/>
  <c r="E320" i="5"/>
  <c r="G320" i="5" s="1"/>
  <c r="E319" i="5"/>
  <c r="G319" i="5" s="1"/>
  <c r="E318" i="5"/>
  <c r="G318" i="5" s="1"/>
  <c r="J317" i="5"/>
  <c r="K317" i="5" s="1"/>
  <c r="L317" i="5" s="1"/>
  <c r="E317" i="5"/>
  <c r="G317" i="5" s="1"/>
  <c r="J316" i="5"/>
  <c r="K316" i="5" s="1"/>
  <c r="L316" i="5" s="1"/>
  <c r="E316" i="5"/>
  <c r="G316" i="5" s="1"/>
  <c r="E315" i="5"/>
  <c r="G315" i="5" s="1"/>
  <c r="E314" i="5"/>
  <c r="G314" i="5" s="1"/>
  <c r="E313" i="5"/>
  <c r="G313" i="5" s="1"/>
  <c r="J312" i="5"/>
  <c r="K312" i="5" s="1"/>
  <c r="L312" i="5" s="1"/>
  <c r="G294" i="5"/>
  <c r="G293" i="5"/>
  <c r="G292" i="5"/>
  <c r="G291" i="5"/>
  <c r="G288" i="5"/>
  <c r="N262" i="5"/>
  <c r="M262" i="5"/>
  <c r="L262" i="5"/>
  <c r="K262" i="5"/>
  <c r="J262" i="5"/>
  <c r="I262" i="5"/>
  <c r="G262" i="5"/>
  <c r="G264" i="5" s="1"/>
  <c r="N252" i="5"/>
  <c r="L252" i="5"/>
  <c r="K252" i="5"/>
  <c r="J252" i="5"/>
  <c r="I252" i="5"/>
  <c r="G240" i="5"/>
  <c r="F239" i="5"/>
  <c r="M231" i="5"/>
  <c r="L231" i="5"/>
  <c r="K231" i="5"/>
  <c r="J231" i="5"/>
  <c r="I231" i="5"/>
  <c r="N230" i="5"/>
  <c r="G229" i="5"/>
  <c r="N228" i="5"/>
  <c r="N227" i="5"/>
  <c r="L212" i="5"/>
  <c r="K212" i="5"/>
  <c r="J212" i="5"/>
  <c r="I212" i="5"/>
  <c r="G210" i="5"/>
  <c r="N210" i="5" s="1"/>
  <c r="N212" i="5" s="1"/>
  <c r="M209" i="5"/>
  <c r="M208" i="5"/>
  <c r="M207" i="5"/>
  <c r="M206" i="5"/>
  <c r="G205" i="5"/>
  <c r="M205" i="5" s="1"/>
  <c r="G204" i="5"/>
  <c r="M204" i="5" s="1"/>
  <c r="N197" i="5"/>
  <c r="L197" i="5"/>
  <c r="K197" i="5"/>
  <c r="J197" i="5"/>
  <c r="I197" i="5"/>
  <c r="G174" i="5"/>
  <c r="M173" i="5"/>
  <c r="M172" i="5"/>
  <c r="E166" i="5"/>
  <c r="G166" i="5" s="1"/>
  <c r="G165" i="5"/>
  <c r="E164" i="5"/>
  <c r="G164" i="5" s="1"/>
  <c r="E163" i="5"/>
  <c r="G163" i="5" s="1"/>
  <c r="E162" i="5"/>
  <c r="G162" i="5" s="1"/>
  <c r="E161" i="5"/>
  <c r="G161" i="5" s="1"/>
  <c r="E160" i="5"/>
  <c r="G160" i="5" s="1"/>
  <c r="E159" i="5"/>
  <c r="G159" i="5" s="1"/>
  <c r="E154" i="5"/>
  <c r="G154" i="5" s="1"/>
  <c r="G150" i="5"/>
  <c r="I137" i="5"/>
  <c r="M133" i="5"/>
  <c r="N132" i="5"/>
  <c r="N128" i="5"/>
  <c r="N127" i="5"/>
  <c r="N137" i="5" s="1"/>
  <c r="L126" i="5"/>
  <c r="L125" i="5"/>
  <c r="L124" i="5"/>
  <c r="G123" i="5"/>
  <c r="G135" i="5" s="1"/>
  <c r="L122" i="5"/>
  <c r="L137" i="5" s="1"/>
  <c r="G116" i="5"/>
  <c r="K107" i="5"/>
  <c r="G106" i="5"/>
  <c r="G118" i="5" s="1"/>
  <c r="G137" i="5" s="1"/>
  <c r="K101" i="5"/>
  <c r="J99" i="5"/>
  <c r="J137" i="5" s="1"/>
  <c r="M91" i="5"/>
  <c r="L91" i="5"/>
  <c r="K91" i="5"/>
  <c r="J91" i="5"/>
  <c r="I91" i="5"/>
  <c r="N80" i="5"/>
  <c r="M80" i="5"/>
  <c r="L80" i="5"/>
  <c r="K80" i="5"/>
  <c r="I79" i="5"/>
  <c r="I78" i="5"/>
  <c r="I75" i="5"/>
  <c r="I74" i="5"/>
  <c r="I70" i="5"/>
  <c r="I69" i="5"/>
  <c r="F68" i="5"/>
  <c r="G68" i="5" s="1"/>
  <c r="G80" i="5" s="1"/>
  <c r="J63" i="5"/>
  <c r="J80" i="5" s="1"/>
  <c r="N59" i="5"/>
  <c r="M59" i="5"/>
  <c r="L59" i="5"/>
  <c r="E276" i="5" s="1"/>
  <c r="K59" i="5"/>
  <c r="E275" i="5" s="1"/>
  <c r="J59" i="5"/>
  <c r="E274" i="5" s="1"/>
  <c r="I59" i="5"/>
  <c r="D55" i="5"/>
  <c r="E290" i="5" s="1"/>
  <c r="G290" i="5" s="1"/>
  <c r="E54" i="5"/>
  <c r="E53" i="5"/>
  <c r="E52" i="5"/>
  <c r="E51" i="5"/>
  <c r="E50" i="5"/>
  <c r="E49" i="5"/>
  <c r="E48" i="5"/>
  <c r="E47" i="5"/>
  <c r="E46" i="5"/>
  <c r="C42" i="5"/>
  <c r="C25" i="5"/>
  <c r="E312" i="5" s="1"/>
  <c r="G312" i="5" s="1"/>
  <c r="C22" i="5"/>
  <c r="E155" i="5" s="1"/>
  <c r="G155" i="5" s="1"/>
  <c r="C21" i="5"/>
  <c r="C14" i="5"/>
  <c r="F25" i="5" s="1"/>
  <c r="E366" i="4"/>
  <c r="G366" i="4" s="1"/>
  <c r="E340" i="4"/>
  <c r="E339" i="4"/>
  <c r="E338" i="4"/>
  <c r="G332" i="4"/>
  <c r="E323" i="4"/>
  <c r="G323" i="4" s="1"/>
  <c r="E322" i="4"/>
  <c r="G322" i="4" s="1"/>
  <c r="E321" i="4"/>
  <c r="G321" i="4" s="1"/>
  <c r="J320" i="4"/>
  <c r="K320" i="4" s="1"/>
  <c r="L320" i="4" s="1"/>
  <c r="E320" i="4"/>
  <c r="G320" i="4" s="1"/>
  <c r="J319" i="4"/>
  <c r="K319" i="4" s="1"/>
  <c r="L319" i="4" s="1"/>
  <c r="E317" i="4"/>
  <c r="G317" i="4" s="1"/>
  <c r="E316" i="4"/>
  <c r="G316" i="4" s="1"/>
  <c r="J315" i="4"/>
  <c r="K315" i="4" s="1"/>
  <c r="L315" i="4" s="1"/>
  <c r="G295" i="4"/>
  <c r="R295" i="4" s="1"/>
  <c r="G294" i="4"/>
  <c r="G293" i="4"/>
  <c r="R292" i="4"/>
  <c r="Q292" i="4"/>
  <c r="P292" i="4"/>
  <c r="O292" i="4"/>
  <c r="N292" i="4"/>
  <c r="M292" i="4"/>
  <c r="E292" i="4"/>
  <c r="G292" i="4" s="1"/>
  <c r="R291" i="4"/>
  <c r="Q291" i="4"/>
  <c r="P291" i="4"/>
  <c r="O291" i="4"/>
  <c r="N291" i="4"/>
  <c r="M291" i="4"/>
  <c r="L291" i="4"/>
  <c r="K291" i="4"/>
  <c r="J291" i="4"/>
  <c r="I291" i="4"/>
  <c r="R289" i="4"/>
  <c r="Q289" i="4"/>
  <c r="P289" i="4"/>
  <c r="O289" i="4"/>
  <c r="N289" i="4"/>
  <c r="M289" i="4"/>
  <c r="L289" i="4"/>
  <c r="G289" i="4"/>
  <c r="G264" i="4"/>
  <c r="L39" i="4" s="1"/>
  <c r="R253" i="4"/>
  <c r="Q253" i="4"/>
  <c r="P253" i="4"/>
  <c r="O253" i="4"/>
  <c r="N253" i="4"/>
  <c r="M253" i="4"/>
  <c r="G253" i="4"/>
  <c r="G242" i="4"/>
  <c r="L37" i="4" s="1"/>
  <c r="F241" i="4"/>
  <c r="R232" i="4"/>
  <c r="G231" i="4"/>
  <c r="R231" i="4" s="1"/>
  <c r="R230" i="4"/>
  <c r="R229" i="4"/>
  <c r="Q211" i="4"/>
  <c r="P211" i="4"/>
  <c r="O211" i="4"/>
  <c r="N211" i="4"/>
  <c r="Q210" i="4"/>
  <c r="P210" i="4"/>
  <c r="O210" i="4"/>
  <c r="N210" i="4"/>
  <c r="R209" i="4"/>
  <c r="Q208" i="4"/>
  <c r="P208" i="4"/>
  <c r="O208" i="4"/>
  <c r="N208" i="4"/>
  <c r="G207" i="4"/>
  <c r="Q207" i="4" s="1"/>
  <c r="G206" i="4"/>
  <c r="G176" i="4"/>
  <c r="Q175" i="4"/>
  <c r="Q174" i="4"/>
  <c r="E168" i="4"/>
  <c r="G168" i="4" s="1"/>
  <c r="E167" i="4"/>
  <c r="G167" i="4" s="1"/>
  <c r="E166" i="4"/>
  <c r="G166" i="4" s="1"/>
  <c r="E165" i="4"/>
  <c r="G165" i="4" s="1"/>
  <c r="E164" i="4"/>
  <c r="G164" i="4" s="1"/>
  <c r="E162" i="4"/>
  <c r="G162" i="4" s="1"/>
  <c r="G152" i="4"/>
  <c r="N151" i="4"/>
  <c r="N146" i="4"/>
  <c r="R135" i="4"/>
  <c r="Q134" i="4"/>
  <c r="P134" i="4"/>
  <c r="O134" i="4"/>
  <c r="N134" i="4"/>
  <c r="Q130" i="4"/>
  <c r="R129" i="4"/>
  <c r="N128" i="4"/>
  <c r="M128" i="4"/>
  <c r="N127" i="4"/>
  <c r="G126" i="4"/>
  <c r="Q126" i="4" s="1"/>
  <c r="G119" i="4"/>
  <c r="L117" i="4"/>
  <c r="K117" i="4"/>
  <c r="G109" i="4"/>
  <c r="M109" i="4" s="1"/>
  <c r="G108" i="4"/>
  <c r="K108" i="4" s="1"/>
  <c r="G107" i="4"/>
  <c r="L101" i="4"/>
  <c r="J99" i="4"/>
  <c r="I79" i="4"/>
  <c r="I78" i="4"/>
  <c r="I75" i="4"/>
  <c r="I74" i="4"/>
  <c r="I70" i="4"/>
  <c r="I69" i="4"/>
  <c r="F68" i="4"/>
  <c r="G68" i="4" s="1"/>
  <c r="G80" i="4" s="1"/>
  <c r="L27" i="4" s="1"/>
  <c r="J63" i="4"/>
  <c r="D55" i="4"/>
  <c r="E54" i="4"/>
  <c r="E53" i="4"/>
  <c r="E52" i="4"/>
  <c r="E51" i="4"/>
  <c r="E50" i="4"/>
  <c r="E49" i="4"/>
  <c r="E48" i="4"/>
  <c r="E47" i="4"/>
  <c r="E46" i="4"/>
  <c r="F46" i="4" s="1"/>
  <c r="C28" i="4"/>
  <c r="E161" i="4" s="1"/>
  <c r="G161" i="4" s="1"/>
  <c r="F25" i="4"/>
  <c r="C25" i="4" s="1"/>
  <c r="C21" i="4"/>
  <c r="O16" i="1" s="1"/>
  <c r="C17" i="4"/>
  <c r="O11" i="1" s="1"/>
  <c r="O12" i="1" s="1"/>
  <c r="C14" i="4"/>
  <c r="D125" i="4" s="1"/>
  <c r="G125" i="4" s="1"/>
  <c r="L253" i="4" l="1"/>
  <c r="G156" i="5"/>
  <c r="E156" i="4"/>
  <c r="G156" i="4" s="1"/>
  <c r="D110" i="4"/>
  <c r="G110" i="4" s="1"/>
  <c r="L110" i="4" s="1"/>
  <c r="C19" i="5"/>
  <c r="G296" i="5"/>
  <c r="E55" i="5"/>
  <c r="I80" i="5"/>
  <c r="C35" i="4"/>
  <c r="O14" i="1" s="1"/>
  <c r="E160" i="4"/>
  <c r="G160" i="4" s="1"/>
  <c r="E315" i="4"/>
  <c r="G315" i="4" s="1"/>
  <c r="C38" i="4"/>
  <c r="C42" i="4" s="1"/>
  <c r="E318" i="4"/>
  <c r="G318" i="4" s="1"/>
  <c r="L108" i="4"/>
  <c r="E319" i="4"/>
  <c r="G319" i="4" s="1"/>
  <c r="N126" i="4"/>
  <c r="E163" i="4"/>
  <c r="G163" i="4" s="1"/>
  <c r="C22" i="4"/>
  <c r="G233" i="4"/>
  <c r="E291" i="4"/>
  <c r="G291" i="4" s="1"/>
  <c r="G297" i="4" s="1"/>
  <c r="E5" i="7"/>
  <c r="E55" i="4"/>
  <c r="O126" i="4"/>
  <c r="P126" i="4"/>
  <c r="D86" i="5"/>
  <c r="G86" i="5" s="1"/>
  <c r="N86" i="5" s="1"/>
  <c r="N91" i="5" s="1"/>
  <c r="G139" i="5"/>
  <c r="G82" i="5"/>
  <c r="G321" i="5"/>
  <c r="G323" i="5" s="1"/>
  <c r="G324" i="5" s="1"/>
  <c r="G325" i="5" s="1"/>
  <c r="G328" i="5" s="1"/>
  <c r="G329" i="5" s="1"/>
  <c r="G298" i="5"/>
  <c r="M150" i="5"/>
  <c r="G339" i="5"/>
  <c r="M123" i="5"/>
  <c r="M137" i="5" s="1"/>
  <c r="G338" i="5"/>
  <c r="F46" i="5"/>
  <c r="F47" i="5" s="1"/>
  <c r="F48" i="5" s="1"/>
  <c r="F49" i="5" s="1"/>
  <c r="F50" i="5" s="1"/>
  <c r="F51" i="5" s="1"/>
  <c r="F52" i="5" s="1"/>
  <c r="F53" i="5" s="1"/>
  <c r="F54" i="5" s="1"/>
  <c r="G241" i="5"/>
  <c r="G242" i="5"/>
  <c r="E273" i="5"/>
  <c r="G231" i="5"/>
  <c r="N229" i="5"/>
  <c r="N231" i="5" s="1"/>
  <c r="K106" i="5"/>
  <c r="K137" i="5" s="1"/>
  <c r="G25" i="5"/>
  <c r="E158" i="5"/>
  <c r="G158" i="5" s="1"/>
  <c r="G167" i="5" s="1"/>
  <c r="G169" i="5" s="1"/>
  <c r="C35" i="5"/>
  <c r="G263" i="5" s="1"/>
  <c r="G82" i="4"/>
  <c r="Q206" i="4"/>
  <c r="P206" i="4"/>
  <c r="O206" i="4"/>
  <c r="N206" i="4"/>
  <c r="N207" i="4"/>
  <c r="G137" i="4"/>
  <c r="N125" i="4"/>
  <c r="M125" i="4"/>
  <c r="G334" i="4"/>
  <c r="G333" i="4"/>
  <c r="F47" i="4"/>
  <c r="F48" i="4" s="1"/>
  <c r="F49" i="4" s="1"/>
  <c r="F50" i="4" s="1"/>
  <c r="F51" i="4" s="1"/>
  <c r="F52" i="4" s="1"/>
  <c r="F53" i="4" s="1"/>
  <c r="F54" i="4" s="1"/>
  <c r="G324" i="4"/>
  <c r="K107" i="4"/>
  <c r="M295" i="4"/>
  <c r="N295" i="4"/>
  <c r="O295" i="4"/>
  <c r="P295" i="4"/>
  <c r="Q295" i="4"/>
  <c r="G244" i="4"/>
  <c r="G266" i="4"/>
  <c r="D86" i="4"/>
  <c r="G86" i="4" s="1"/>
  <c r="K289" i="4"/>
  <c r="G234" i="4" l="1"/>
  <c r="L36" i="4"/>
  <c r="G299" i="4"/>
  <c r="G121" i="4"/>
  <c r="K110" i="4"/>
  <c r="G265" i="4"/>
  <c r="G243" i="4"/>
  <c r="F5" i="7"/>
  <c r="E7" i="7"/>
  <c r="F7" i="7" s="1"/>
  <c r="E6" i="7"/>
  <c r="F6" i="7" s="1"/>
  <c r="G81" i="4"/>
  <c r="G235" i="4"/>
  <c r="G298" i="4"/>
  <c r="G91" i="5"/>
  <c r="G92" i="5" s="1"/>
  <c r="C19" i="4"/>
  <c r="O17" i="1"/>
  <c r="O18" i="1" s="1"/>
  <c r="E157" i="4"/>
  <c r="G157" i="4" s="1"/>
  <c r="G158" i="4" s="1"/>
  <c r="G169" i="4"/>
  <c r="E212" i="4"/>
  <c r="G212" i="4" s="1"/>
  <c r="O26" i="1"/>
  <c r="O28" i="1" s="1"/>
  <c r="M169" i="5"/>
  <c r="F185" i="5"/>
  <c r="G185" i="5" s="1"/>
  <c r="F186" i="5"/>
  <c r="G186" i="5" s="1"/>
  <c r="M186" i="5" s="1"/>
  <c r="F176" i="5"/>
  <c r="G176" i="5" s="1"/>
  <c r="G349" i="5"/>
  <c r="L37" i="1" s="1"/>
  <c r="F246" i="5"/>
  <c r="G246" i="5" s="1"/>
  <c r="G81" i="5"/>
  <c r="G138" i="5"/>
  <c r="G297" i="5"/>
  <c r="G232" i="5"/>
  <c r="G233" i="5"/>
  <c r="G326" i="4"/>
  <c r="G325" i="4"/>
  <c r="F248" i="4"/>
  <c r="G248" i="4" s="1"/>
  <c r="G344" i="4"/>
  <c r="O37" i="1" s="1"/>
  <c r="G139" i="4"/>
  <c r="L33" i="4" s="1"/>
  <c r="G91" i="4"/>
  <c r="L34" i="4" s="1"/>
  <c r="R86" i="4"/>
  <c r="G93" i="5" l="1"/>
  <c r="G368" i="5"/>
  <c r="R212" i="4"/>
  <c r="Q212" i="4"/>
  <c r="G171" i="4"/>
  <c r="G252" i="5"/>
  <c r="M246" i="5"/>
  <c r="M252" i="5" s="1"/>
  <c r="G352" i="5"/>
  <c r="G353" i="5"/>
  <c r="G178" i="5"/>
  <c r="M176" i="5"/>
  <c r="G188" i="5"/>
  <c r="M185" i="5"/>
  <c r="F191" i="5"/>
  <c r="G191" i="5" s="1"/>
  <c r="G92" i="4"/>
  <c r="G93" i="4"/>
  <c r="G365" i="4"/>
  <c r="G141" i="4"/>
  <c r="G140" i="4"/>
  <c r="G348" i="4"/>
  <c r="G347" i="4"/>
  <c r="Q248" i="4"/>
  <c r="P248" i="4"/>
  <c r="M248" i="4"/>
  <c r="G254" i="4"/>
  <c r="L38" i="4" s="1"/>
  <c r="O248" i="4"/>
  <c r="N248" i="4"/>
  <c r="P171" i="4" l="1"/>
  <c r="F178" i="4"/>
  <c r="G178" i="4" s="1"/>
  <c r="F187" i="4"/>
  <c r="G187" i="4" s="1"/>
  <c r="Q171" i="4"/>
  <c r="O171" i="4"/>
  <c r="F188" i="4"/>
  <c r="G188" i="4" s="1"/>
  <c r="Q188" i="4" s="1"/>
  <c r="N171" i="4"/>
  <c r="R171" i="4" s="1"/>
  <c r="G193" i="5"/>
  <c r="M191" i="5"/>
  <c r="M197" i="5"/>
  <c r="G196" i="5"/>
  <c r="G181" i="5"/>
  <c r="G180" i="5"/>
  <c r="G179" i="5"/>
  <c r="G254" i="5"/>
  <c r="G253" i="5"/>
  <c r="G256" i="4"/>
  <c r="G255" i="4"/>
  <c r="G180" i="4" l="1"/>
  <c r="Q178" i="4"/>
  <c r="P178" i="4"/>
  <c r="N178" i="4"/>
  <c r="O178" i="4"/>
  <c r="G190" i="4"/>
  <c r="Q187" i="4"/>
  <c r="G197" i="5"/>
  <c r="F203" i="5"/>
  <c r="G203" i="5" s="1"/>
  <c r="G199" i="5"/>
  <c r="G198" i="5"/>
  <c r="G183" i="4" l="1"/>
  <c r="F193" i="4"/>
  <c r="G193" i="4" s="1"/>
  <c r="G182" i="4"/>
  <c r="G181" i="4"/>
  <c r="G211" i="5"/>
  <c r="M203" i="5"/>
  <c r="M212" i="5" s="1"/>
  <c r="P193" i="4" l="1"/>
  <c r="O193" i="4"/>
  <c r="G195" i="4"/>
  <c r="G198" i="4" s="1"/>
  <c r="L29" i="4" s="1"/>
  <c r="N193" i="4"/>
  <c r="Q193" i="4"/>
  <c r="G212" i="5"/>
  <c r="G213" i="5"/>
  <c r="F220" i="5"/>
  <c r="G220" i="5" s="1"/>
  <c r="F218" i="5"/>
  <c r="G218" i="5" s="1"/>
  <c r="F217" i="5"/>
  <c r="G217" i="5" s="1"/>
  <c r="F219" i="5"/>
  <c r="G219" i="5" s="1"/>
  <c r="G200" i="4" l="1"/>
  <c r="G199" i="4"/>
  <c r="F205" i="4"/>
  <c r="G205" i="4" s="1"/>
  <c r="G201" i="4"/>
  <c r="N218" i="5"/>
  <c r="M218" i="5"/>
  <c r="L218" i="5"/>
  <c r="K218" i="5"/>
  <c r="J218" i="5"/>
  <c r="I218" i="5"/>
  <c r="N219" i="5"/>
  <c r="M219" i="5"/>
  <c r="L219" i="5"/>
  <c r="N220" i="5"/>
  <c r="M220" i="5"/>
  <c r="L220" i="5"/>
  <c r="G221" i="5"/>
  <c r="M217" i="5"/>
  <c r="L217" i="5"/>
  <c r="K217" i="5"/>
  <c r="J217" i="5"/>
  <c r="I217" i="5"/>
  <c r="N217" i="5"/>
  <c r="G213" i="4" l="1"/>
  <c r="L30" i="4" s="1"/>
  <c r="O205" i="4"/>
  <c r="P205" i="4"/>
  <c r="Q205" i="4"/>
  <c r="N205" i="4"/>
  <c r="N222" i="5"/>
  <c r="N268" i="5" s="1"/>
  <c r="I222" i="5"/>
  <c r="I268" i="5" s="1"/>
  <c r="J222" i="5"/>
  <c r="J268" i="5" s="1"/>
  <c r="K222" i="5"/>
  <c r="K268" i="5" s="1"/>
  <c r="L222" i="5"/>
  <c r="L268" i="5" s="1"/>
  <c r="M222" i="5"/>
  <c r="M268" i="5" s="1"/>
  <c r="H221" i="5"/>
  <c r="G223" i="5"/>
  <c r="G222" i="5"/>
  <c r="G268" i="5"/>
  <c r="L33" i="1" s="1"/>
  <c r="G215" i="4" l="1"/>
  <c r="F220" i="4"/>
  <c r="G220" i="4" s="1"/>
  <c r="F222" i="4"/>
  <c r="G222" i="4" s="1"/>
  <c r="F221" i="4"/>
  <c r="G221" i="4" s="1"/>
  <c r="G214" i="4"/>
  <c r="F219" i="4"/>
  <c r="G219" i="4" s="1"/>
  <c r="F278" i="5"/>
  <c r="F273" i="5"/>
  <c r="G273" i="5" s="1"/>
  <c r="I269" i="5"/>
  <c r="O221" i="4" l="1"/>
  <c r="M221" i="4"/>
  <c r="J221" i="4"/>
  <c r="R221" i="4"/>
  <c r="Q221" i="4"/>
  <c r="P221" i="4"/>
  <c r="N221" i="4"/>
  <c r="L221" i="4"/>
  <c r="K221" i="4"/>
  <c r="I221" i="4"/>
  <c r="L220" i="4"/>
  <c r="K220" i="4"/>
  <c r="R220" i="4"/>
  <c r="J220" i="4"/>
  <c r="I220" i="4"/>
  <c r="P220" i="4"/>
  <c r="O220" i="4"/>
  <c r="N220" i="4"/>
  <c r="M220" i="4"/>
  <c r="Q220" i="4"/>
  <c r="G223" i="4"/>
  <c r="L35" i="4" s="1"/>
  <c r="L40" i="4" s="1"/>
  <c r="M33" i="4" s="1"/>
  <c r="K219" i="4"/>
  <c r="I219" i="4"/>
  <c r="Q219" i="4"/>
  <c r="L219" i="4"/>
  <c r="J219" i="4"/>
  <c r="R219" i="4"/>
  <c r="P219" i="4"/>
  <c r="N219" i="4"/>
  <c r="M219" i="4"/>
  <c r="O219" i="4"/>
  <c r="P222" i="4"/>
  <c r="O222" i="4"/>
  <c r="N222" i="4"/>
  <c r="M222" i="4"/>
  <c r="R222" i="4"/>
  <c r="Q222" i="4"/>
  <c r="L222" i="4"/>
  <c r="K222" i="4"/>
  <c r="J222" i="4"/>
  <c r="I222" i="4"/>
  <c r="F280" i="5"/>
  <c r="G280" i="5" s="1"/>
  <c r="F279" i="5"/>
  <c r="G279" i="5" s="1"/>
  <c r="G281" i="5" s="1"/>
  <c r="F274" i="5"/>
  <c r="O270" i="4" l="1"/>
  <c r="N272" i="4"/>
  <c r="N270" i="4"/>
  <c r="R272" i="4"/>
  <c r="R270" i="4"/>
  <c r="J270" i="4"/>
  <c r="J272" i="4"/>
  <c r="L270" i="4"/>
  <c r="L272" i="4"/>
  <c r="Q270" i="4"/>
  <c r="M270" i="4"/>
  <c r="P272" i="4"/>
  <c r="P270" i="4"/>
  <c r="I272" i="4"/>
  <c r="I270" i="4"/>
  <c r="I271" i="4" s="1"/>
  <c r="K270" i="4"/>
  <c r="G270" i="4"/>
  <c r="M24" i="4" s="1"/>
  <c r="G225" i="4"/>
  <c r="G224" i="4"/>
  <c r="F275" i="5"/>
  <c r="G274" i="5"/>
  <c r="I275" i="4" l="1"/>
  <c r="O33" i="1"/>
  <c r="I278" i="4"/>
  <c r="J271" i="4"/>
  <c r="F276" i="5"/>
  <c r="G276" i="5" s="1"/>
  <c r="G275" i="5"/>
  <c r="G277" i="5" s="1"/>
  <c r="G282" i="5" s="1"/>
  <c r="I279" i="4" l="1"/>
  <c r="I303" i="4" s="1"/>
  <c r="I304" i="4" s="1"/>
  <c r="I282" i="4"/>
  <c r="J278" i="4"/>
  <c r="K271" i="4"/>
  <c r="J276" i="4"/>
  <c r="M278" i="4" s="1"/>
  <c r="K276" i="4"/>
  <c r="G302" i="5"/>
  <c r="L34" i="1" s="1"/>
  <c r="G284" i="5"/>
  <c r="G283" i="5"/>
  <c r="G285" i="5" l="1"/>
  <c r="K278" i="4"/>
  <c r="L271" i="4"/>
  <c r="J279" i="4"/>
  <c r="J303" i="4" s="1"/>
  <c r="J304" i="4" s="1"/>
  <c r="J282" i="4"/>
  <c r="M279" i="4"/>
  <c r="N278" i="4"/>
  <c r="G305" i="5"/>
  <c r="G304" i="5"/>
  <c r="G265" i="5"/>
  <c r="G243" i="5"/>
  <c r="G299" i="5"/>
  <c r="G140" i="5"/>
  <c r="G340" i="5"/>
  <c r="G83" i="5"/>
  <c r="G94" i="5"/>
  <c r="G234" i="5"/>
  <c r="G359" i="5"/>
  <c r="L40" i="1" s="1"/>
  <c r="L41" i="1" s="1"/>
  <c r="G182" i="5"/>
  <c r="G255" i="5"/>
  <c r="G200" i="5"/>
  <c r="G214" i="5"/>
  <c r="G224" i="5"/>
  <c r="N279" i="4" l="1"/>
  <c r="O278" i="4"/>
  <c r="L278" i="4"/>
  <c r="M271" i="4"/>
  <c r="K282" i="4"/>
  <c r="K279" i="4"/>
  <c r="G367" i="5"/>
  <c r="G369" i="5" s="1"/>
  <c r="G371" i="5" s="1"/>
  <c r="G372" i="5" s="1"/>
  <c r="G376" i="5" s="1"/>
  <c r="L42" i="1" s="1"/>
  <c r="L43" i="1" s="1"/>
  <c r="G364" i="5"/>
  <c r="G363" i="5"/>
  <c r="G361" i="5"/>
  <c r="G360" i="5"/>
  <c r="K303" i="4" l="1"/>
  <c r="K304" i="4" s="1"/>
  <c r="O279" i="4"/>
  <c r="P278" i="4"/>
  <c r="M280" i="4"/>
  <c r="N271" i="4"/>
  <c r="L279" i="4"/>
  <c r="L303" i="4" s="1"/>
  <c r="L282" i="4"/>
  <c r="G392" i="5"/>
  <c r="G381" i="5"/>
  <c r="G380" i="5"/>
  <c r="G378" i="5"/>
  <c r="G377" i="5"/>
  <c r="L304" i="4" l="1"/>
  <c r="M281" i="4"/>
  <c r="M303" i="4" s="1"/>
  <c r="M304" i="4" s="1"/>
  <c r="M282" i="4"/>
  <c r="P279" i="4"/>
  <c r="Q278" i="4"/>
  <c r="G275" i="4"/>
  <c r="G278" i="4" s="1"/>
  <c r="O271" i="4"/>
  <c r="N280" i="4"/>
  <c r="N281" i="4" l="1"/>
  <c r="N303" i="4" s="1"/>
  <c r="N304" i="4" s="1"/>
  <c r="N282" i="4"/>
  <c r="O280" i="4"/>
  <c r="P271" i="4"/>
  <c r="R278" i="4"/>
  <c r="R279" i="4" s="1"/>
  <c r="Q279" i="4"/>
  <c r="G281" i="4" s="1"/>
  <c r="S279" i="4" l="1"/>
  <c r="O282" i="4"/>
  <c r="O281" i="4"/>
  <c r="O303" i="4" s="1"/>
  <c r="O304" i="4" s="1"/>
  <c r="Q271" i="4"/>
  <c r="P280" i="4"/>
  <c r="P282" i="4" l="1"/>
  <c r="P281" i="4"/>
  <c r="R271" i="4"/>
  <c r="R280" i="4" s="1"/>
  <c r="Q280" i="4"/>
  <c r="Q281" i="4" l="1"/>
  <c r="Q303" i="4" s="1"/>
  <c r="Q282" i="4"/>
  <c r="R281" i="4"/>
  <c r="R303" i="4" s="1"/>
  <c r="R282" i="4"/>
  <c r="P303" i="4"/>
  <c r="P304" i="4" s="1"/>
  <c r="S281" i="4" l="1"/>
  <c r="S282" i="4" s="1"/>
  <c r="G280" i="4"/>
  <c r="G282" i="4" s="1"/>
  <c r="G283" i="4" s="1"/>
  <c r="G285" i="4" s="1"/>
  <c r="Q304" i="4"/>
  <c r="R304" i="4" s="1"/>
  <c r="G284" i="4"/>
  <c r="G303" i="4" l="1"/>
  <c r="L42" i="4"/>
  <c r="O34" i="1"/>
  <c r="G257" i="4"/>
  <c r="G202" i="4"/>
  <c r="G305" i="4"/>
  <c r="G300" i="4"/>
  <c r="G335" i="4"/>
  <c r="G94" i="4"/>
  <c r="G216" i="4"/>
  <c r="G226" i="4"/>
  <c r="G307" i="4"/>
  <c r="G306" i="4"/>
  <c r="G267" i="4"/>
  <c r="G236" i="4"/>
  <c r="G83" i="4"/>
  <c r="G245" i="4"/>
  <c r="G356" i="4"/>
  <c r="G184" i="4"/>
  <c r="G142" i="4"/>
  <c r="G286" i="4" l="1"/>
  <c r="M22" i="4"/>
  <c r="O40" i="1"/>
  <c r="O41" i="1" s="1"/>
  <c r="G361" i="4"/>
  <c r="G360" i="4"/>
  <c r="G364" i="4"/>
  <c r="G368" i="4" s="1"/>
  <c r="G370" i="4" s="1"/>
  <c r="G371" i="4" s="1"/>
  <c r="G374" i="4" s="1"/>
  <c r="G358" i="4"/>
  <c r="G357" i="4"/>
  <c r="C52" i="3"/>
  <c r="C51" i="3"/>
  <c r="C49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3" i="3"/>
  <c r="C12" i="3"/>
  <c r="C11" i="3"/>
  <c r="H7" i="7" l="1"/>
  <c r="I7" i="7" s="1"/>
  <c r="H6" i="7"/>
  <c r="I6" i="7" s="1"/>
  <c r="H5" i="7"/>
  <c r="I5" i="7" s="1"/>
  <c r="K5" i="7" s="1"/>
  <c r="O42" i="1"/>
  <c r="O43" i="1" s="1"/>
  <c r="G376" i="4"/>
  <c r="G375" i="4"/>
  <c r="G378" i="4"/>
  <c r="G379" i="4"/>
  <c r="J5" i="7" l="1"/>
  <c r="O52" i="1" s="1"/>
  <c r="J6" i="7"/>
  <c r="O53" i="1" s="1"/>
  <c r="K6" i="7"/>
  <c r="J7" i="7"/>
  <c r="O54" i="1" s="1"/>
  <c r="K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tc={4EEE4E7C-3D80-4EE2-9CD3-B4C0434544BF}</author>
    <author>tc={F4C76B03-8845-4DA9-AB02-86DDAB80064B}</author>
    <author>tc={7ECADBCF-DB67-4AC7-BABF-EF73DE674BEF}</author>
  </authors>
  <commentList>
    <comment ref="L26" authorId="0" shapeId="0" xr:uid="{4EEE4E7C-3D80-4EE2-9CD3-B4C0434544B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Počítané je jedno NP ako jeden priestor.</t>
      </text>
    </comment>
    <comment ref="L27" authorId="1" shapeId="0" xr:uid="{F4C76B03-8845-4DA9-AB02-86DDAB80064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Počítané je jedno NP ako jeden priestor.</t>
      </text>
    </comment>
    <comment ref="O27" authorId="2" shapeId="0" xr:uid="{7ECADBCF-DB67-4AC7-BABF-EF73DE674BE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Počítané je jedno NP ako jeden priestor.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37F886B-9F38-4512-9094-3E92C6E768F1}" keepAlive="1" name="Dotaz – TABULKA_PRODEJNÍ_PLOCHY_CELKEM_DL211" description="Připojení k dotazu produktu TABULKA_PRODEJNÍ_PLOCHY_CELKEM_DL211 v sešitě" type="5" refreshedVersion="0" background="1" saveData="1">
    <dbPr connection="Provider=Microsoft.Mashup.OleDb.1;Data Source=$Workbook$;Location=TABULKA_PRODEJNÍ_PLOCHY_CELKEM_DL211;Extended Properties=&quot;&quot;" command="SELECT * FROM [TABULKA_PRODEJNÍ_PLOCHY_CELKEM_DL211]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</future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<sst xmlns="http://schemas.openxmlformats.org/spreadsheetml/2006/main" count="1447" uniqueCount="574">
  <si>
    <t>ZÁKLADNÍ INFORMACE O PROJEKTU</t>
  </si>
  <si>
    <t>Obchodní název</t>
  </si>
  <si>
    <t>Smíchovský palác</t>
  </si>
  <si>
    <t xml:space="preserve"> </t>
  </si>
  <si>
    <t>HMG - úprava projektu na mikro byty</t>
  </si>
  <si>
    <t xml:space="preserve">  </t>
  </si>
  <si>
    <t>etapa</t>
  </si>
  <si>
    <t>fáze projektu</t>
  </si>
  <si>
    <t>délka v měsících</t>
  </si>
  <si>
    <t>V-27</t>
  </si>
  <si>
    <t>VI-27</t>
  </si>
  <si>
    <t>VII-27</t>
  </si>
  <si>
    <t>VIII-27</t>
  </si>
  <si>
    <t>IX-27</t>
  </si>
  <si>
    <t>X-27</t>
  </si>
  <si>
    <t>V-28</t>
  </si>
  <si>
    <t>VI-28</t>
  </si>
  <si>
    <t>VII-28</t>
  </si>
  <si>
    <t>VIII-28</t>
  </si>
  <si>
    <t>IX-28</t>
  </si>
  <si>
    <t>X-28</t>
  </si>
  <si>
    <t>A. Akvizice + Projekt</t>
  </si>
  <si>
    <t>Indikativní nabídka - LoI</t>
  </si>
  <si>
    <t>Potvrzení LoI</t>
  </si>
  <si>
    <t xml:space="preserve">Due Deligence - ekonomická, technická a právní prověrka - Top Estates + externí </t>
  </si>
  <si>
    <t>Koupě projektu</t>
  </si>
  <si>
    <t xml:space="preserve">B. Arch. studie         </t>
  </si>
  <si>
    <t>Architektonická studie / soutěž - úprava konceptu</t>
  </si>
  <si>
    <t>Prezemtace Výboru UZR MČ5</t>
  </si>
  <si>
    <t>Dopracování architektonické studie, zapracování výstupu Výboru pro uzemní rozvoj MČ5 - pokud bude potřeba</t>
  </si>
  <si>
    <t>2. představení Výboru UZR MČ5 (pokud bude potřeba)</t>
  </si>
  <si>
    <t>Arch. studie - vydání čistopisu.</t>
  </si>
  <si>
    <t>Business plán, včetně příloh (např. zpracovaný cost plan)</t>
  </si>
  <si>
    <t xml:space="preserve">D. Projekt Změna stavby před dokončením          </t>
  </si>
  <si>
    <t>konzultace specialisté - optimalizace technického řešení</t>
  </si>
  <si>
    <t>projektant - výběrové řízení + zpracování dokumentace Změna stavby před dokončením</t>
  </si>
  <si>
    <t>konzultace úřady a DOSS - vyjádření DOSS</t>
  </si>
  <si>
    <t>získávání kladných stanovisek DOSS</t>
  </si>
  <si>
    <t>kontribuční smlouva, resp. podmínky spolupráce s městskou částí, metodika pro spolupráci MČ5</t>
  </si>
  <si>
    <t xml:space="preserve">podání žádosti ÚR + SP a zahájení řízení </t>
  </si>
  <si>
    <t>Vydání Rozhodnutí</t>
  </si>
  <si>
    <t>Nabytí PM</t>
  </si>
  <si>
    <t>aktualizace Business plánu povydání ZSPD</t>
  </si>
  <si>
    <t xml:space="preserve">F. Prováděcí PD </t>
  </si>
  <si>
    <t xml:space="preserve">výběrové řízení na projektanta </t>
  </si>
  <si>
    <t xml:space="preserve">Komunikace a poptávky s klíčovými konzultanty - subdodavatelé projektanta, např fasáda, apod. </t>
  </si>
  <si>
    <t>Prováděcí projektová dokumentace čistopis - vč. zapracování veškerých tech řešení, optimalizací, apod.</t>
  </si>
  <si>
    <t>G. Marketing, prezentace</t>
  </si>
  <si>
    <t>Marketingové materiály (vizualizace, animace, web, apod.)</t>
  </si>
  <si>
    <t>Vytvoření MKT plánu</t>
  </si>
  <si>
    <t>Prezentace do médií</t>
  </si>
  <si>
    <t>H. Prodej jednotek</t>
  </si>
  <si>
    <t xml:space="preserve">prodejní podklady - karty bytů, smluvní dokumentace, apod. </t>
  </si>
  <si>
    <t>předprodej - oslovení databáze klientů, investorů</t>
  </si>
  <si>
    <t>oficiální prodej</t>
  </si>
  <si>
    <t>I. Výběrová řízení</t>
  </si>
  <si>
    <t>Výběr Cma (předpoklad je, že vybíráme na základě PD pro provedení stavby)</t>
  </si>
  <si>
    <t>Příprava (rozdělení stavby na tendrovací balíčky, seznamy dodavatelů, apod.)</t>
  </si>
  <si>
    <t>Výběrová řízení na výstavbu</t>
  </si>
  <si>
    <t>65 % uzavřených tendrů - pokud bude požadavek banky</t>
  </si>
  <si>
    <t>J. Financování</t>
  </si>
  <si>
    <t>indikativní nabídka</t>
  </si>
  <si>
    <t>Spuštění bankovního financování</t>
  </si>
  <si>
    <t>K. Stavba</t>
  </si>
  <si>
    <t>Výstavba</t>
  </si>
  <si>
    <t xml:space="preserve">Kolaudace a Předání </t>
  </si>
  <si>
    <t>celková délka trvání projektu</t>
  </si>
  <si>
    <t>délka bankovní financování / snížení vlastní ekvity</t>
  </si>
  <si>
    <t>zadává se</t>
  </si>
  <si>
    <t>vzorec, počítá se, NESAHAT!</t>
  </si>
  <si>
    <t>úprava na mikrobyty (ZSPD)</t>
  </si>
  <si>
    <t>Základní parametry</t>
  </si>
  <si>
    <t>Plocha pozemku</t>
  </si>
  <si>
    <t>m2</t>
  </si>
  <si>
    <t>HPP projektu (nadzemní část)</t>
  </si>
  <si>
    <t>více:</t>
  </si>
  <si>
    <t>nadzemní část</t>
  </si>
  <si>
    <t>podzemní část</t>
  </si>
  <si>
    <t>upraveno na 3.PP</t>
  </si>
  <si>
    <t>OBESTAVĚNÝ PROSTOR</t>
  </si>
  <si>
    <t>konstrukční výška</t>
  </si>
  <si>
    <t>m3</t>
  </si>
  <si>
    <t>DLE FUNKCE</t>
  </si>
  <si>
    <t>ČPP</t>
  </si>
  <si>
    <t>HPP</t>
  </si>
  <si>
    <t>poměr</t>
  </si>
  <si>
    <t>administrativa</t>
  </si>
  <si>
    <t>komerce v přízemí</t>
  </si>
  <si>
    <t>terasy + lodžie</t>
  </si>
  <si>
    <t>balkony</t>
  </si>
  <si>
    <t xml:space="preserve">sklepy </t>
  </si>
  <si>
    <t>ks</t>
  </si>
  <si>
    <t xml:space="preserve">sklepy retail </t>
  </si>
  <si>
    <t xml:space="preserve">parkování - vnitřní </t>
  </si>
  <si>
    <t>navýšení o 42 ks, původní 78 ks</t>
  </si>
  <si>
    <t>parking venkovní</t>
  </si>
  <si>
    <t>ČPP celkem</t>
  </si>
  <si>
    <t>DLE DISPOZICE</t>
  </si>
  <si>
    <t>počet</t>
  </si>
  <si>
    <t>plocha celkem</t>
  </si>
  <si>
    <t>půrměrná plocha bytu</t>
  </si>
  <si>
    <t>1KK</t>
  </si>
  <si>
    <t>2KK</t>
  </si>
  <si>
    <t>3KK</t>
  </si>
  <si>
    <t>4KK</t>
  </si>
  <si>
    <t xml:space="preserve">Σ </t>
  </si>
  <si>
    <t>Harmonogram</t>
  </si>
  <si>
    <t>status</t>
  </si>
  <si>
    <t>měsíce</t>
  </si>
  <si>
    <t>roky</t>
  </si>
  <si>
    <t>délka do určité fáze</t>
  </si>
  <si>
    <t>předpokládané datum (od - do)</t>
  </si>
  <si>
    <t>akvizice</t>
  </si>
  <si>
    <t>urbanistická+architektonická studie</t>
  </si>
  <si>
    <t>DUR</t>
  </si>
  <si>
    <t>ÚR + SP</t>
  </si>
  <si>
    <t>SP</t>
  </si>
  <si>
    <t>ZSPD změna stavby před dokončením</t>
  </si>
  <si>
    <t>prováděcí PD, příprava stavby</t>
  </si>
  <si>
    <t>stavba</t>
  </si>
  <si>
    <t>předání, kolaudace</t>
  </si>
  <si>
    <t>Cash flow dle fází projektu</t>
  </si>
  <si>
    <t>Σ</t>
  </si>
  <si>
    <t>NÁKLADY</t>
  </si>
  <si>
    <t>pololetí</t>
  </si>
  <si>
    <t>2/2</t>
  </si>
  <si>
    <t>1/2</t>
  </si>
  <si>
    <t>RO 100: AKVIZICE</t>
  </si>
  <si>
    <t>jednotka</t>
  </si>
  <si>
    <t>množství</t>
  </si>
  <si>
    <t>jedn. cena</t>
  </si>
  <si>
    <t>cena bez DPH</t>
  </si>
  <si>
    <t>DD + studie</t>
  </si>
  <si>
    <t>změna SP</t>
  </si>
  <si>
    <t>prováděcí PD</t>
  </si>
  <si>
    <t>kolaudace</t>
  </si>
  <si>
    <t>AKVIZICE</t>
  </si>
  <si>
    <t>cena za společnost / nemovitost</t>
  </si>
  <si>
    <t>100% podíl společnosti CIG Kováků</t>
  </si>
  <si>
    <t>Postoupení projektu</t>
  </si>
  <si>
    <t>Pujčka nevratná</t>
  </si>
  <si>
    <t>SOUVISEJÍCÍ NÁKLADY</t>
  </si>
  <si>
    <t>zprostředkování</t>
  </si>
  <si>
    <t>náklady na notáře a poplatky</t>
  </si>
  <si>
    <t>náklady na smluvní dokumentaci</t>
  </si>
  <si>
    <t>daň z převodu</t>
  </si>
  <si>
    <t>DUE DILLIGENCE</t>
  </si>
  <si>
    <t>právní náklady</t>
  </si>
  <si>
    <t>technické posouzení, sítě, doprava, voda apod.</t>
  </si>
  <si>
    <t>soulad s územním plánem, povolení, apod</t>
  </si>
  <si>
    <t>posouzení prodejních cen, konceptu</t>
  </si>
  <si>
    <t>cost plan</t>
  </si>
  <si>
    <t>účetnictví, daně</t>
  </si>
  <si>
    <t xml:space="preserve"> Σ RO 100</t>
  </si>
  <si>
    <t>přepočet</t>
  </si>
  <si>
    <t>z celkových nákladů</t>
  </si>
  <si>
    <t>RO 200: Budovaná INFRA k předání obci, providerovi</t>
  </si>
  <si>
    <t xml:space="preserve">Městská část </t>
  </si>
  <si>
    <t>na základě kontribuční smlouvy s Městskou částí</t>
  </si>
  <si>
    <t>vynucené investice - poplatky městské části Praha 5</t>
  </si>
  <si>
    <t xml:space="preserve">vyšší inženýring </t>
  </si>
  <si>
    <t xml:space="preserve"> Σ RO 200</t>
  </si>
  <si>
    <t>RO 300: PROJEKTOVÉ A INŽENÝRSKÉ PRÁCE</t>
  </si>
  <si>
    <t>% ze stavebních nákladů</t>
  </si>
  <si>
    <t>PROJEKTOVÁ DOKUMENTACE</t>
  </si>
  <si>
    <t>arch. soutěž</t>
  </si>
  <si>
    <t>arch. studie</t>
  </si>
  <si>
    <t>úprava kanceláří na mikro byty</t>
  </si>
  <si>
    <t>zahradní architektura (studie + DPS)</t>
  </si>
  <si>
    <t>projekt interiéru</t>
  </si>
  <si>
    <t>společné prostory, standardy, vyzuální identita, apod.</t>
  </si>
  <si>
    <t>definice standardu</t>
  </si>
  <si>
    <t>ZPF</t>
  </si>
  <si>
    <t>EIA</t>
  </si>
  <si>
    <t xml:space="preserve">výkazy výměr </t>
  </si>
  <si>
    <t>společná dokumentace UR+SP kompletně</t>
  </si>
  <si>
    <t>architektonický dozor po dobu SP</t>
  </si>
  <si>
    <t>architektonický dozor po dobu ZSPD</t>
  </si>
  <si>
    <t>architektonický dozor po dobu prováděcí PD</t>
  </si>
  <si>
    <t>změna stavby před dokončením</t>
  </si>
  <si>
    <t>přepočet dle HPP</t>
  </si>
  <si>
    <t xml:space="preserve">revize dokumentace </t>
  </si>
  <si>
    <t>INŽENÝRING</t>
  </si>
  <si>
    <t>povolení projektu - před zahájením stavby</t>
  </si>
  <si>
    <t>územní rozhodnutí</t>
  </si>
  <si>
    <t>stavební povolení</t>
  </si>
  <si>
    <t>změna stavby</t>
  </si>
  <si>
    <t>PRE rezervace příkonu kW přehodit do 300</t>
  </si>
  <si>
    <t>přeneseno do klientských smluv</t>
  </si>
  <si>
    <t xml:space="preserve"> Σ RO 300</t>
  </si>
  <si>
    <t>RO 496: PROJEKTOVÉ A INŽENÝRSKÉ PRÁCE</t>
  </si>
  <si>
    <t>prováděcí dokumentace</t>
  </si>
  <si>
    <t xml:space="preserve">     tendrová dokumentace PD pro výběr dodavatelů = VV+PDSP v podrobnosti dle TES)</t>
  </si>
  <si>
    <t xml:space="preserve">     autorský dozor stavby</t>
  </si>
  <si>
    <t>architekt projektu</t>
  </si>
  <si>
    <t xml:space="preserve">     pasportizace okolních staveb - komunikace, domy</t>
  </si>
  <si>
    <t>dílenská dokumentace, doplňující posouzení (audit statiky, odborné konzultace, větrný model, apod.)</t>
  </si>
  <si>
    <t>skutečné provedení stavby</t>
  </si>
  <si>
    <t>zaměření (stavba a byty) pro prohlášení vlastníka</t>
  </si>
  <si>
    <t>během stavby</t>
  </si>
  <si>
    <t>inženýring stavby DIO, DIR, zábory, čerpání atd.</t>
  </si>
  <si>
    <t>kolaudace, předání infrastruktury a jednotek</t>
  </si>
  <si>
    <t xml:space="preserve"> Σ RO 496</t>
  </si>
  <si>
    <t>Σ RO 300 + 496</t>
  </si>
  <si>
    <t>RO 400: STAVEBNÍ NÁKLADY</t>
  </si>
  <si>
    <t xml:space="preserve">příprava území (skrývka)  </t>
  </si>
  <si>
    <t>odstranění stávajícího parkoviště</t>
  </si>
  <si>
    <t>kpl</t>
  </si>
  <si>
    <t>demolice stávajících budov</t>
  </si>
  <si>
    <t>dekontaminace území</t>
  </si>
  <si>
    <t>retenční nádrže, vsaky, apod.</t>
  </si>
  <si>
    <t>přípojky, zasíťování</t>
  </si>
  <si>
    <t>přeložky, nové přípojky</t>
  </si>
  <si>
    <t>PŘÍMÉ STAVEBNÍ NÁKLADY</t>
  </si>
  <si>
    <t>celkem</t>
  </si>
  <si>
    <t xml:space="preserve">DLE FUNKCE </t>
  </si>
  <si>
    <t>mikrobyty</t>
  </si>
  <si>
    <t>komerce</t>
  </si>
  <si>
    <t>terasy, lodžie</t>
  </si>
  <si>
    <t xml:space="preserve">balkony </t>
  </si>
  <si>
    <t>sklepy</t>
  </si>
  <si>
    <t xml:space="preserve">parking vnitřní - Odhad </t>
  </si>
  <si>
    <t>průměr</t>
  </si>
  <si>
    <t>VNĚJŠÍ ÚPRAVY</t>
  </si>
  <si>
    <t>sadové a terénní úpravy, HTÚ, vnější aktivity + ozelenění balkonů a teras</t>
  </si>
  <si>
    <t>pobytová terasa, komunitní prostory</t>
  </si>
  <si>
    <t>areálová komunikace, úpravy stávající (napojení na komunikace)</t>
  </si>
  <si>
    <t>úprava v ulicích Kováků a Na Zatlance</t>
  </si>
  <si>
    <t>VRN  1,5%</t>
  </si>
  <si>
    <t>%</t>
  </si>
  <si>
    <t>Σ RO 400</t>
  </si>
  <si>
    <t>přepočet na m3 (celkové)</t>
  </si>
  <si>
    <t>RO 428: STAVEBNÍ REZERVA</t>
  </si>
  <si>
    <t>rezerva na nepředvídatelné položky</t>
  </si>
  <si>
    <t>rezerva na nárůst cen materiálů</t>
  </si>
  <si>
    <t>Σ RO 428</t>
  </si>
  <si>
    <t>RO 497: KORDINACE A PŘÍMÉ NÁKLADY SPV</t>
  </si>
  <si>
    <t>koordinace generálního dodavatele - systém construction management (dodavatel: Top Estates Structure, s.r.o.)</t>
  </si>
  <si>
    <t>počtáno z RO 400</t>
  </si>
  <si>
    <t>Σ RO 497</t>
  </si>
  <si>
    <t>KOMPLETNÍ STAVEBNÍ NÁKLADY - Σ 400 + 428 + 497:</t>
  </si>
  <si>
    <t>RO 493: VEDLEJŠÍ STAVEBNÍ NÁKLADY</t>
  </si>
  <si>
    <t>cost management - konzultace</t>
  </si>
  <si>
    <t>doplnění realizačního týmů externí firmou</t>
  </si>
  <si>
    <t>bankovní monitor</t>
  </si>
  <si>
    <t>měs</t>
  </si>
  <si>
    <t>zprávy bankovního monitora</t>
  </si>
  <si>
    <t>pro milníky čerpání - úvodní a konečná</t>
  </si>
  <si>
    <t>pojištění stavby po dobu výstavby</t>
  </si>
  <si>
    <t>zkušební provoz, revize, zaškolení, služby do předání bud. majitelům</t>
  </si>
  <si>
    <t>pronájem a zábory pozemků</t>
  </si>
  <si>
    <t>pronájmy zařízení staveniště</t>
  </si>
  <si>
    <t>externí audit - kontrola provedení</t>
  </si>
  <si>
    <t>např. Proficheck</t>
  </si>
  <si>
    <t>Σ RO 493</t>
  </si>
  <si>
    <t>RO 500:  REŽIE</t>
  </si>
  <si>
    <t>500 01 development fee - z celkových nákladů</t>
  </si>
  <si>
    <t>TEG - kompletní developerská činnost</t>
  </si>
  <si>
    <t>500 02 construction fee - ze stavebních nákladů + VSN (TES)</t>
  </si>
  <si>
    <t>TES - kompletní příprava a vedení stavby</t>
  </si>
  <si>
    <t>500 03 marketing fee - z celkových nákladů</t>
  </si>
  <si>
    <t>TEG - mkt servis, koncept a tvorba kampaní, mkt materiiálů, atd.</t>
  </si>
  <si>
    <t>500 04 cost management fee + VSN</t>
  </si>
  <si>
    <t>TES - výběrová řízení na jednotlivé RO - formou constr. manag.</t>
  </si>
  <si>
    <t>Σ RO 500</t>
  </si>
  <si>
    <t>RO 508: REŽIJNÍ NÁKLADY PO DOKONČENÍ STAVBY</t>
  </si>
  <si>
    <t>náklady na správu neprodaných jednotek</t>
  </si>
  <si>
    <t>pojištění stavby před předáním SVJ</t>
  </si>
  <si>
    <t>řízení reklamací</t>
  </si>
  <si>
    <t>náklady na údržbu a správu dokončených nemovitostí, infrastruktury a zeleně</t>
  </si>
  <si>
    <t>Σ RO 504</t>
  </si>
  <si>
    <t>RO 508: Náklady na údržbu a správu stávajících nemovistostí</t>
  </si>
  <si>
    <t>Náklady na opravy</t>
  </si>
  <si>
    <t>Náklady na energie</t>
  </si>
  <si>
    <t>Rezerva</t>
  </si>
  <si>
    <t>RO 600: Sales &amp; Marketing</t>
  </si>
  <si>
    <t>reklamy, inzerce, web, billboardy, online kampaně</t>
  </si>
  <si>
    <t>reklamní prostor, online, apod.</t>
  </si>
  <si>
    <t>sociální média a PR</t>
  </si>
  <si>
    <t>marketingové materiály (vizualizace, animace, karty jednotek, katalog standardů, model, apod.)</t>
  </si>
  <si>
    <t>reklamní a online agentury</t>
  </si>
  <si>
    <t>provize prodejci, realitní agentury</t>
  </si>
  <si>
    <t>interní prodejní a marketingový tým</t>
  </si>
  <si>
    <t>Σ RO 600</t>
  </si>
  <si>
    <t>RO 700: Klientské změny - náklady</t>
  </si>
  <si>
    <t>Klientské změny nestavební - služba</t>
  </si>
  <si>
    <t>zpětná fakturace poplatku od klientů</t>
  </si>
  <si>
    <t>vouchery</t>
  </si>
  <si>
    <t>elekromobilita</t>
  </si>
  <si>
    <t>Σ RO 700</t>
  </si>
  <si>
    <t>CELKEM náklady bez finančních</t>
  </si>
  <si>
    <t>dle období (pololetně)</t>
  </si>
  <si>
    <t>kumulativně</t>
  </si>
  <si>
    <t>po rocích</t>
  </si>
  <si>
    <t>RO 801 + 802: FINANČNÍ NÁKLADY (ÚROKY)</t>
  </si>
  <si>
    <t>sazba</t>
  </si>
  <si>
    <t>délka</t>
  </si>
  <si>
    <t>částka</t>
  </si>
  <si>
    <t>úrok</t>
  </si>
  <si>
    <t>801 VLASTNÍ EKVITA</t>
  </si>
  <si>
    <t>schéma financování</t>
  </si>
  <si>
    <t>celkové náklady</t>
  </si>
  <si>
    <t>vl. ekvita</t>
  </si>
  <si>
    <t>bankovní úvěr</t>
  </si>
  <si>
    <t>dle předpokládaného cash flow</t>
  </si>
  <si>
    <t>vlastní ekvita</t>
  </si>
  <si>
    <t>802 DEVELOPERSKÝ ÚVĚR (bez nákladů po dokončení - bude hrazeno z peněz klientů)</t>
  </si>
  <si>
    <t>banka</t>
  </si>
  <si>
    <t>bankovní financování</t>
  </si>
  <si>
    <t>ekvita investora</t>
  </si>
  <si>
    <t>celkem - kontrola nákladů</t>
  </si>
  <si>
    <t>Σ RO 801 + 802</t>
  </si>
  <si>
    <t xml:space="preserve">RO 800  FINANČNÍ NÁKLADY ostatní </t>
  </si>
  <si>
    <t xml:space="preserve">částka </t>
  </si>
  <si>
    <t>Právo, daně, audit, účetnictví a poradenství</t>
  </si>
  <si>
    <t>Daně - vyjma DPPO</t>
  </si>
  <si>
    <t>Satutární fee</t>
  </si>
  <si>
    <t xml:space="preserve">Poplatky - bankovní, správní, registrační </t>
  </si>
  <si>
    <t>Office náklady vč. repre</t>
  </si>
  <si>
    <t>IT vybavení nad rámec office</t>
  </si>
  <si>
    <t>Náklady financování - různé fee´s plynoucí z US - flat fee, commitment fee atd.</t>
  </si>
  <si>
    <t>Q</t>
  </si>
  <si>
    <t>Σ RO 800</t>
  </si>
  <si>
    <t>CELKEM náklady včetně finančních</t>
  </si>
  <si>
    <t>kuulativně</t>
  </si>
  <si>
    <t>VÝNOSY</t>
  </si>
  <si>
    <t>průměrná cena/jednotku</t>
  </si>
  <si>
    <t>CENÍK</t>
  </si>
  <si>
    <t>CENA BYTU</t>
  </si>
  <si>
    <t>RO 900: VÝNOSY Z PRODEJE</t>
  </si>
  <si>
    <t>jed. cena</t>
  </si>
  <si>
    <t>celkem bez DPH</t>
  </si>
  <si>
    <t>celkem vč. DPH (12%)</t>
  </si>
  <si>
    <t>balkony, lodžie</t>
  </si>
  <si>
    <t>parkování vnitřní</t>
  </si>
  <si>
    <t>parkování vnější</t>
  </si>
  <si>
    <t>Σ RO 900</t>
  </si>
  <si>
    <t>RO 905: OSTATNÍ VÝNOSY</t>
  </si>
  <si>
    <t>pronájem</t>
  </si>
  <si>
    <t>přefakturace</t>
  </si>
  <si>
    <t>prodej</t>
  </si>
  <si>
    <t>Σ RO 905</t>
  </si>
  <si>
    <t>RO 700: Klientské změny  - výnosy</t>
  </si>
  <si>
    <t>celkové výnosy</t>
  </si>
  <si>
    <t>ZISK</t>
  </si>
  <si>
    <t>ZISK PŘED ZDANĚNÍM</t>
  </si>
  <si>
    <t>zisk vs. náklady</t>
  </si>
  <si>
    <t>zisk vs. výnosy</t>
  </si>
  <si>
    <t>Výpočet daně z příjmu</t>
  </si>
  <si>
    <t>předpokládané vynucené investice</t>
  </si>
  <si>
    <t>rozdíl mezi kupní cenou akcií a hodnotou nákladů v účetnictví</t>
  </si>
  <si>
    <t>základ daně</t>
  </si>
  <si>
    <t>daňové ztráty</t>
  </si>
  <si>
    <t>nelze teď určit</t>
  </si>
  <si>
    <t>základ daně upravený</t>
  </si>
  <si>
    <t>nezaokrouhleno</t>
  </si>
  <si>
    <t>celková daň ze zisku</t>
  </si>
  <si>
    <t>ZISK PO ZDANĚNÍ</t>
  </si>
  <si>
    <t>kanceláře - dle aktuálního SP</t>
  </si>
  <si>
    <t>administrativa - 2.NP - 11.NP</t>
  </si>
  <si>
    <t>akviziční náklady</t>
  </si>
  <si>
    <t>studie</t>
  </si>
  <si>
    <t>příprava, prováděcí PD</t>
  </si>
  <si>
    <t>kolaudace, dokkončení</t>
  </si>
  <si>
    <t>kontribuce - polovina po ÚR, polovina po kolaudaci</t>
  </si>
  <si>
    <t>UNIKA 5,2%</t>
  </si>
  <si>
    <t>architektonický dozor po dobu zpracovánní dokumentace</t>
  </si>
  <si>
    <t xml:space="preserve">     tendrová dokumentace</t>
  </si>
  <si>
    <t>dokumentace pro výběr dodavatelů</t>
  </si>
  <si>
    <t>kanceláře</t>
  </si>
  <si>
    <t>areálová komunikace, úpravy stávající (napojení)</t>
  </si>
  <si>
    <t>koordinace Top Estates Structure</t>
  </si>
  <si>
    <t>Σ 400 + 428 + 497:</t>
  </si>
  <si>
    <t>pro milníky čerpání</t>
  </si>
  <si>
    <t>500 04 cost management fee - pokud bude - ze stavebních nákladů + VSN</t>
  </si>
  <si>
    <t>náklady na údržbu a správu dokončených nemovitostí, ifrastruktury a zeleně</t>
  </si>
  <si>
    <t>reklamy, inzerce, web, billboaryd, online kampaně</t>
  </si>
  <si>
    <t>Individuální konzultace přímé náklady příkazníků včetně přefakturace</t>
  </si>
  <si>
    <t>vlastní ekvita - do získání develop úvěru</t>
  </si>
  <si>
    <t>RO 800: FINANČNÍ NÁKLADY (ÚROKY)</t>
  </si>
  <si>
    <t>koupě + nová studie</t>
  </si>
  <si>
    <t>prováděcí PD, před zahájením výstavby</t>
  </si>
  <si>
    <t>802 DEVELOPERSKÝ ÚVĚR</t>
  </si>
  <si>
    <t>LTV</t>
  </si>
  <si>
    <t xml:space="preserve">RO 803  FINANČNÍ NÁKLADY ostatní </t>
  </si>
  <si>
    <t>3 jednatelé - každý 50.000 Kč / měs</t>
  </si>
  <si>
    <t>Σ RO 803</t>
  </si>
  <si>
    <t>nájem / měs</t>
  </si>
  <si>
    <t>obsazenost</t>
  </si>
  <si>
    <t>měsíční výnos</t>
  </si>
  <si>
    <t>roční výnos</t>
  </si>
  <si>
    <t>redukce, dle obsazenosti</t>
  </si>
  <si>
    <t>yield</t>
  </si>
  <si>
    <t>prodej celé obsazené budovy</t>
  </si>
  <si>
    <t>odložená daň</t>
  </si>
  <si>
    <t>akvita kupované společnosti</t>
  </si>
  <si>
    <t>kupní cena</t>
  </si>
  <si>
    <t>rozdíl</t>
  </si>
  <si>
    <t>odložená daň 21%</t>
  </si>
  <si>
    <t>čistý zisk</t>
  </si>
  <si>
    <r>
      <rPr>
        <b/>
        <sz val="16"/>
        <color theme="1"/>
        <rFont val="Swis721 Cn BT"/>
        <family val="2"/>
      </rPr>
      <t>Bogle</t>
    </r>
    <r>
      <rPr>
        <sz val="16"/>
        <color theme="1"/>
        <rFont val="Swis721 Cn BT"/>
        <family val="2"/>
      </rPr>
      <t xml:space="preserve"> Architects</t>
    </r>
  </si>
  <si>
    <t>Smichov_Kovaku_Total Areas</t>
  </si>
  <si>
    <t>Podle  DIN 277 a gif - "Richtlinine zur Berechnung der Mietfläche für Büroraum (MF-B)"</t>
  </si>
  <si>
    <t>24.11.2021</t>
  </si>
  <si>
    <t>Nájemní plocha 1 (N-P1)</t>
  </si>
  <si>
    <t>Nájemní plocha N-P1 celkem</t>
  </si>
  <si>
    <t>Nájemní plocha 2 (společné uživatelské právo) (N-P2)</t>
  </si>
  <si>
    <t>Nájemní plocha N-P2 celkem</t>
  </si>
  <si>
    <t>Hrubá nájemní plocha celkem</t>
  </si>
  <si>
    <t>Efekt. náj. plochy
(GLA) / (GBA)</t>
  </si>
  <si>
    <t>Nájemní plocha N-P3 Společné lobby</t>
  </si>
  <si>
    <t>Sklady</t>
  </si>
  <si>
    <t>Obsazenost</t>
  </si>
  <si>
    <t>Výška patra</t>
  </si>
  <si>
    <t>Obestavený prostor</t>
  </si>
  <si>
    <t>Podlaží</t>
  </si>
  <si>
    <t xml:space="preserve">GBA </t>
  </si>
  <si>
    <t>HNF</t>
  </si>
  <si>
    <t>VF</t>
  </si>
  <si>
    <t>NNF</t>
  </si>
  <si>
    <t xml:space="preserve">N-P1 </t>
  </si>
  <si>
    <t xml:space="preserve">N-P2 </t>
  </si>
  <si>
    <t>Pronajímatelná plocha celkem</t>
  </si>
  <si>
    <t xml:space="preserve">GLA </t>
  </si>
  <si>
    <t>EFF.</t>
  </si>
  <si>
    <t>N-P3</t>
  </si>
  <si>
    <t>8m2/N-P1</t>
  </si>
  <si>
    <t>Osoby</t>
  </si>
  <si>
    <t>m</t>
  </si>
  <si>
    <t>NP celkem</t>
  </si>
  <si>
    <t>PP celkem</t>
  </si>
  <si>
    <t>Poznámka:</t>
  </si>
  <si>
    <t>Celková pronajímatelná plocha Projektu bez teras a/nebo balkónů v nadzemních podlažích, zaokrouhlená na celé metry nahoru a zjištěná podle "Směrnice pro výpočet nájemní plochy kancelářských prostor " („Richtlinie zur Berechnung der Büromietfläche“) vydané v roce 1996 společností "Gesellschaft für Immobilienwirtschaftliche Forschung" („Společností pro výzkum hospodaření s nemovitostmi“).</t>
  </si>
  <si>
    <t xml:space="preserve">Uvedený výkaz výměr je pouze orientační a vztahuje se k předpokládaným </t>
  </si>
  <si>
    <t xml:space="preserve">plochám aktuálním v současné fázi návrhu. Jakákoli rozhodnutí provedená na základě </t>
  </si>
  <si>
    <t xml:space="preserve">těchto přibližných výměr (Finanční návratnost projektu, pronájem, prodej atd.) </t>
  </si>
  <si>
    <t>by měla přihlédnout k možným odchylkám, které mohou být způsobeny následujícím: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</si>
  <si>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ptos Narrow"/>
        <family val="2"/>
        <scheme val="minor"/>
      </rPr>
      <t>Vývoj návrhu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</si>
  <si>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ptos Narrow"/>
        <family val="2"/>
        <scheme val="minor"/>
      </rPr>
      <t>Přesnost podkladů, výškové hladiny a rozměry parcely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</si>
  <si>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ptos Narrow"/>
        <family val="2"/>
        <scheme val="minor"/>
      </rPr>
      <t>Konstrukční postupy a tolerance stavby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</si>
  <si>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Aptos Narrow"/>
        <family val="2"/>
        <scheme val="minor"/>
      </rPr>
      <t>Místní úřady a statutární souhlasy   </t>
    </r>
  </si>
  <si>
    <t>PROJEKTOVÝ TÝM</t>
  </si>
  <si>
    <t>GBA/HPP celkem</t>
  </si>
  <si>
    <t>GBA/HPP NP</t>
  </si>
  <si>
    <t>GBA/HPP PP</t>
  </si>
  <si>
    <t>GLA/prenajím. plocha</t>
  </si>
  <si>
    <t>ZZPD zahájení</t>
  </si>
  <si>
    <t>DPS zahájení</t>
  </si>
  <si>
    <t>DPS expedice</t>
  </si>
  <si>
    <t>STAVBA zahájení</t>
  </si>
  <si>
    <t>KOLAUDACE a předání</t>
  </si>
  <si>
    <t>ZZPD nabití PM</t>
  </si>
  <si>
    <t>LOKALITA</t>
  </si>
  <si>
    <t>Praha 5</t>
  </si>
  <si>
    <t>Smíchov</t>
  </si>
  <si>
    <t>ul. Kováků</t>
  </si>
  <si>
    <t>PARAMETRY PROJEKTU / VELIKOST</t>
  </si>
  <si>
    <t>FÁZE PROJEKTU</t>
  </si>
  <si>
    <t>Obestavěný prostor NP</t>
  </si>
  <si>
    <t>Obestavěný prostor celkem</t>
  </si>
  <si>
    <t>počet parkovacích stání</t>
  </si>
  <si>
    <t>zastavěná plocha</t>
  </si>
  <si>
    <t>celkem bez finančních</t>
  </si>
  <si>
    <t>NÁKLADY OFFICE</t>
  </si>
  <si>
    <t>celkem vč. finančních</t>
  </si>
  <si>
    <t>NÁKLADY VIZE</t>
  </si>
  <si>
    <t>POČTY JEDNOTEK</t>
  </si>
  <si>
    <t>byt</t>
  </si>
  <si>
    <t>komerční prostor</t>
  </si>
  <si>
    <t>počet jednotek celkem</t>
  </si>
  <si>
    <t>VÝNOSY OFFICE</t>
  </si>
  <si>
    <t>VÝNOSY VIZE</t>
  </si>
  <si>
    <t>před zdaněním</t>
  </si>
  <si>
    <t>po zdanění</t>
  </si>
  <si>
    <t xml:space="preserve">ZISK OFFICE </t>
  </si>
  <si>
    <t>ZISK VIZE</t>
  </si>
  <si>
    <t>var. OFFICE</t>
  </si>
  <si>
    <t>var. VIZE</t>
  </si>
  <si>
    <t>Obestavěný prostor PP</t>
  </si>
  <si>
    <t>Bogle Architects</t>
  </si>
  <si>
    <t>POČÁTEČNÍ INVESTICE</t>
  </si>
  <si>
    <t>DÉLKA INVESTICE (v letech)</t>
  </si>
  <si>
    <t>ÚROK 10% p.a.</t>
  </si>
  <si>
    <t>PODÍL NA ZISKU PO ZDANĚNÍ</t>
  </si>
  <si>
    <t xml:space="preserve">CELKOVÉ ZHODNOCENÍ </t>
  </si>
  <si>
    <t>CELKOVÉ ZHODNOCENÍ PROJEKTU</t>
  </si>
  <si>
    <t>VÝSLEDNÉ ZHODNOCENÍ (p.a.)</t>
  </si>
  <si>
    <t>ekvity investor</t>
  </si>
  <si>
    <t>STRUKTURA</t>
  </si>
  <si>
    <t>1.</t>
  </si>
  <si>
    <t>2.</t>
  </si>
  <si>
    <t>3.</t>
  </si>
  <si>
    <t>VAR.</t>
  </si>
  <si>
    <t>úrok (p.a.)</t>
  </si>
  <si>
    <t>investor - 20%</t>
  </si>
  <si>
    <t>investor - 25%</t>
  </si>
  <si>
    <t>investor - 30%</t>
  </si>
  <si>
    <t>Počet NP</t>
  </si>
  <si>
    <t>Počet PP</t>
  </si>
  <si>
    <t>X-29</t>
  </si>
  <si>
    <t>IX-29</t>
  </si>
  <si>
    <t>VIII-29</t>
  </si>
  <si>
    <t>VII-29</t>
  </si>
  <si>
    <t>VI-29</t>
  </si>
  <si>
    <t>V-29</t>
  </si>
  <si>
    <t>IRR</t>
  </si>
  <si>
    <t>p.a.</t>
  </si>
  <si>
    <t>MILNÍKY - PLÁN PŘI AKVIZICI</t>
  </si>
  <si>
    <r>
      <t xml:space="preserve">kancelářské prostory </t>
    </r>
    <r>
      <rPr>
        <sz val="9"/>
        <color theme="1"/>
        <rFont val="Aptos"/>
        <family val="2"/>
      </rPr>
      <t>(open space)</t>
    </r>
  </si>
  <si>
    <t>dataroom Kováků DD technické</t>
  </si>
  <si>
    <t>dataroom Kováků DD účetní a daňové</t>
  </si>
  <si>
    <t>AKTUÁLNÍ STAV VÝVOJE PROJEKTU</t>
  </si>
  <si>
    <t>AKTUÁLNÍ FÁZE PROJEKTU</t>
  </si>
  <si>
    <t>MILNÍKY - SLEDOVÁNÍ PLÁNU V DALŠÍCH FÁZÍCH</t>
  </si>
  <si>
    <t>ODKAZY pro DD</t>
  </si>
  <si>
    <t>zaregistrovaná certifikace BREEAM (2025)</t>
  </si>
  <si>
    <t>Územní plán smíšené funkce s mírou využití SV-S</t>
  </si>
  <si>
    <t>ÚR /dle 183/2006 Sb./ nabylo právní moc dne 16.8.2024 bez legislativních a procesních komplikací</t>
  </si>
  <si>
    <t>zahájené Stavební řízení o povolení stavby ze dne 28.6.2024 před účinností nového stavebního zákona 283/2021; předpoklad vydání 10/2025</t>
  </si>
  <si>
    <t>hlučnost (bezprostřední blízkost strahovského tunelu)</t>
  </si>
  <si>
    <t>v přípravě doplňující ÚR vodoprávní; v kompetenci SÚ5</t>
  </si>
  <si>
    <t xml:space="preserve">dtto ÚR komunikace a zpevněné plochy </t>
  </si>
  <si>
    <t>PŘÍLEŽITOSTI</t>
  </si>
  <si>
    <t>RIZIKA</t>
  </si>
  <si>
    <t>VÝVOJ PROJEKTU PO AKVIZICI</t>
  </si>
  <si>
    <t>bude doplněno</t>
  </si>
  <si>
    <t>Generální projektant DPZ, DSP</t>
  </si>
  <si>
    <t>HIP DPZ, DSP</t>
  </si>
  <si>
    <t>Architekt studie</t>
  </si>
  <si>
    <t>ZZPD (zahájené řízení SP)</t>
  </si>
  <si>
    <t>REKAPITULACE NÁKLADŮ</t>
  </si>
  <si>
    <t>PŘÍPRAVA ÚZEM + Infrastruktura</t>
  </si>
  <si>
    <t>Hard Costs</t>
  </si>
  <si>
    <t>Soft Costs</t>
  </si>
  <si>
    <t>projekční náklady</t>
  </si>
  <si>
    <t>vedlejší stavební n.</t>
  </si>
  <si>
    <t>vlastní režie</t>
  </si>
  <si>
    <t>ostatní</t>
  </si>
  <si>
    <t>komplet</t>
  </si>
  <si>
    <t>sales &amp; marketing</t>
  </si>
  <si>
    <t>Finanční náklady</t>
  </si>
  <si>
    <t>úroky z úvěru</t>
  </si>
  <si>
    <t>Celkem komplet</t>
  </si>
  <si>
    <t>Celkem bez finančních nákladů</t>
  </si>
  <si>
    <t>včetně rezervy</t>
  </si>
  <si>
    <t>Akvizice</t>
  </si>
  <si>
    <t>po dokončení stavby</t>
  </si>
  <si>
    <t>kontribuce</t>
  </si>
  <si>
    <t>správa nemovitosti</t>
  </si>
  <si>
    <t>klientské zmeny</t>
  </si>
  <si>
    <t>% z celkových nákl.</t>
  </si>
  <si>
    <t>https://maps.app.goo.gl/7zBSyG3efkFerg8R8</t>
  </si>
  <si>
    <t>stavební náklady vč. VRN</t>
  </si>
  <si>
    <t>stavební rezerva</t>
  </si>
  <si>
    <t>STAVEBNÍ NÁKLADY OFFICE</t>
  </si>
  <si>
    <t>stavební náklady komplet</t>
  </si>
  <si>
    <t>STAVEBNÍ NÁKLADY VIZE</t>
  </si>
  <si>
    <t>zahájeno stavební povolení</t>
  </si>
  <si>
    <t>přepočet (Kč/HPP nadzemní části)</t>
  </si>
  <si>
    <t>STÁVAJÍCÍ VIZUALIZACE</t>
  </si>
  <si>
    <t>Lhůta pro kasační stížnost</t>
  </si>
  <si>
    <t>C. Karta projektu č.2</t>
  </si>
  <si>
    <t>E. Karta projektu č.3</t>
  </si>
  <si>
    <t>délka vlastního financování</t>
  </si>
  <si>
    <t>úprava konceptu na mikro byty</t>
  </si>
  <si>
    <r>
      <t xml:space="preserve">Žádost o vydání stavebního povolení podána 28.06.2024, 
</t>
    </r>
    <r>
      <rPr>
        <b/>
        <sz val="11"/>
        <color theme="1"/>
        <rFont val="Aptos"/>
        <family val="2"/>
      </rPr>
      <t>Oznámení o zahájení stavebního řízení</t>
    </r>
    <r>
      <rPr>
        <sz val="11"/>
        <color theme="1"/>
        <rFont val="Aptos"/>
        <family val="2"/>
      </rPr>
      <t xml:space="preserve"> na stavbu administrativní budovy, bylo oznámeno zveřejněním na úřední desce dne </t>
    </r>
    <r>
      <rPr>
        <b/>
        <sz val="11"/>
        <color theme="1"/>
        <rFont val="Aptos"/>
        <family val="2"/>
      </rPr>
      <t>16.09.2025</t>
    </r>
    <r>
      <rPr>
        <sz val="11"/>
        <color theme="1"/>
        <rFont val="Aptos"/>
        <family val="2"/>
      </rPr>
      <t xml:space="preserve"> (do 02.10.2025). 
</t>
    </r>
    <r>
      <rPr>
        <b/>
        <sz val="11"/>
        <color theme="1"/>
        <rFont val="Aptos"/>
        <family val="2"/>
      </rPr>
      <t>Vydání stavebního povolení očekáváme po 10/2025,</t>
    </r>
    <r>
      <rPr>
        <sz val="11"/>
        <color theme="1"/>
        <rFont val="Aptos"/>
        <family val="2"/>
      </rPr>
      <t xml:space="preserve"> v tomto řízení se postupuje podle starého stavebního zákona.                                  Akvizice projektu </t>
    </r>
    <r>
      <rPr>
        <b/>
        <sz val="11"/>
        <color theme="1"/>
        <rFont val="Aptos"/>
      </rPr>
      <t>po nabytí právní moci stavebního povolení</t>
    </r>
    <r>
      <rPr>
        <sz val="11"/>
        <color theme="1"/>
        <rFont val="Aptos"/>
        <family val="2"/>
      </rPr>
      <t xml:space="preserve"> a uplnynutí lhůty pro možnost vznášet kasační stížnosti - 3 měsíce po nabytí právní moci.                                                                                                            Během due diligence </t>
    </r>
    <r>
      <rPr>
        <b/>
        <sz val="11"/>
        <color theme="1"/>
        <rFont val="Aptos"/>
      </rPr>
      <t xml:space="preserve">probíhají konzultace </t>
    </r>
    <r>
      <rPr>
        <sz val="11"/>
        <color theme="1"/>
        <rFont val="Aptos"/>
        <family val="2"/>
      </rPr>
      <t xml:space="preserve">na městské části a stavebním úřadě nad možností změny projektu na bytovy dům a komerčním parterem. </t>
    </r>
  </si>
  <si>
    <t>aktualizace:</t>
  </si>
  <si>
    <t>AED</t>
  </si>
  <si>
    <t>2734 m2</t>
  </si>
  <si>
    <t>aktualizace: 26.09.2025</t>
  </si>
  <si>
    <t>aktualizace: 27.09.2025</t>
  </si>
  <si>
    <t>SMÍCHOVSKÝ PALÁC</t>
  </si>
  <si>
    <t>datum vydání: 27.10.2025</t>
  </si>
  <si>
    <t>Zpracování kompletní arch. studie a předjednání úpravy / změny projektu na bytový dům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</si>
</sst>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1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[$-405]mmm\-yy;@"/>
    <numFmt numFmtId="165" formatCode="#,##0\ _K_č"/>
    <numFmt numFmtId="166" formatCode="_-* #,##0\ &quot;Kč&quot;_-;\-* #,##0\ &quot;Kč&quot;_-;_-* &quot;-&quot;??\ &quot;Kč&quot;_-;_-@_-"/>
    <numFmt numFmtId="167" formatCode="_-* #,##0.00\ _K_č_-;\-* #,##0.00\ _K_č_-;_-* &quot;-&quot;??\ _K_č_-;_-@_-"/>
    <numFmt numFmtId="168" formatCode="_-* #,##0\ _K_č_-;\-* #,##0\ _K_č_-;_-* &quot;-&quot;??\ _K_č_-;_-@_-"/>
    <numFmt numFmtId="169" formatCode="_-* #,##0.0\ _K_č_-;\-* #,##0.0\ _K_č_-;_-* &quot;-&quot;??\ _K_č_-;_-@_-"/>
    <numFmt numFmtId="170" formatCode="0.0"/>
    <numFmt numFmtId="171" formatCode="_-* #,##0\ _K_č_-;\-* #,##0\ _K_č_-;_-* &quot;-&quot;\ _K_č_-;_-@_-"/>
    <numFmt numFmtId="172" formatCode="_-* #,##0\ [$€-1]_-;\-* #,##0\ [$€-1]_-;_-* &quot;-&quot;??\ [$€-1]_-;_-@_-"/>
    <numFmt numFmtId="173" formatCode="_-* #,##0.0\ &quot;Kč&quot;_-;\-* #,##0.0\ &quot;Kč&quot;_-;_-* &quot;-&quot;??\ &quot;Kč&quot;_-;_-@_-"/>
    <numFmt numFmtId="174" formatCode="#,##0.0\ &quot;Kč&quot;"/>
    <numFmt numFmtId="175" formatCode="0.0%"/>
    <numFmt numFmtId="176" formatCode="_-* #,##0\ [$Kč-405]_-;\-* #,##0\ [$Kč-405]_-;_-* &quot;-&quot;??\ [$Kč-405]_-;_-@_-"/>
    <numFmt numFmtId="177" formatCode="#,##0\ &quot;Kč&quot;"/>
    <numFmt numFmtId="178" formatCode="#,##0.00\ &quot;Kč&quot;"/>
    <numFmt numFmtId="179" formatCode="_-* #,##0.0\ &quot;Kč&quot;_-;\-* #,##0.0\ &quot;Kč&quot;_-;_-* &quot;-&quot;?\ &quot;Kč&quot;_-;_-@_-"/>
    <numFmt numFmtId="180" formatCode="_-* #,##0\ &quot;Kč&quot;_-;\-* #,##0\ &quot;Kč&quot;_-;_-* &quot;-&quot;?\ &quot;Kč&quot;_-;_-@_-"/>
    <numFmt numFmtId="181" formatCode="#,##0.0"/>
    <numFmt numFmtId="182" formatCode="[$-405]mmmm\ yy;@"/>
  </numFmts>
  <fonts count="9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 CE"/>
      <charset val="238"/>
    </font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0"/>
      <color theme="1"/>
      <name val="Aptos Narrow"/>
      <family val="2"/>
      <charset val="238"/>
      <scheme val="minor"/>
    </font>
    <font>
      <sz val="8"/>
      <color theme="1"/>
      <name val="Aptos Narrow"/>
      <family val="2"/>
      <scheme val="minor"/>
    </font>
    <font>
      <b/>
      <sz val="36"/>
      <color rgb="FFC00000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sz val="9"/>
      <color theme="1"/>
      <name val="Aptos Narrow"/>
      <family val="2"/>
      <scheme val="minor"/>
    </font>
    <font>
      <sz val="6"/>
      <name val="Aptos Narrow"/>
      <family val="2"/>
      <scheme val="minor"/>
    </font>
    <font>
      <sz val="6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0"/>
      <name val="Arial"/>
      <family val="2"/>
      <charset val="238"/>
    </font>
    <font>
      <b/>
      <sz val="20"/>
      <color theme="0"/>
      <name val="Arial"/>
      <family val="2"/>
      <charset val="204"/>
    </font>
    <font>
      <b/>
      <sz val="14"/>
      <name val="Arial"/>
      <family val="2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i/>
      <sz val="9"/>
      <name val="Arial"/>
      <family val="2"/>
      <charset val="204"/>
    </font>
    <font>
      <sz val="1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i/>
      <sz val="10"/>
      <color theme="1"/>
      <name val="Arial"/>
      <family val="2"/>
    </font>
    <font>
      <sz val="9"/>
      <name val="Arial"/>
      <family val="2"/>
      <charset val="238"/>
    </font>
    <font>
      <sz val="10"/>
      <color theme="6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10"/>
      <color rgb="FFFF0000"/>
      <name val="Arial"/>
      <family val="2"/>
    </font>
    <font>
      <i/>
      <sz val="10"/>
      <name val="Arial"/>
      <family val="2"/>
      <charset val="204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sz val="14"/>
      <color theme="0"/>
      <name val="Arial"/>
      <family val="2"/>
      <charset val="204"/>
    </font>
    <font>
      <b/>
      <sz val="9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i/>
      <sz val="9"/>
      <color rgb="FFFF0000"/>
      <name val="Arial"/>
      <family val="2"/>
    </font>
    <font>
      <sz val="11"/>
      <name val="Arial"/>
      <family val="2"/>
      <charset val="238"/>
    </font>
    <font>
      <sz val="11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6"/>
      <color theme="1"/>
      <name val="Swis721 Cn BT"/>
      <family val="2"/>
    </font>
    <font>
      <b/>
      <sz val="16"/>
      <color theme="1"/>
      <name val="Swis721 Cn BT"/>
      <family val="2"/>
    </font>
    <font>
      <sz val="12"/>
      <color theme="1"/>
      <name val="Swis721 Cn BT"/>
      <family val="2"/>
    </font>
    <font>
      <b/>
      <sz val="14"/>
      <color theme="1"/>
      <name val="Swis721 Cn BT"/>
      <family val="2"/>
    </font>
    <font>
      <sz val="11"/>
      <color theme="1"/>
      <name val="Swis721 Cn BT"/>
      <family val="2"/>
    </font>
    <font>
      <sz val="8"/>
      <name val="Arial"/>
      <family val="2"/>
      <charset val="238"/>
    </font>
    <font>
      <b/>
      <sz val="11"/>
      <color theme="1"/>
      <name val="Swis721 Cn BT"/>
      <family val="2"/>
    </font>
    <font>
      <b/>
      <sz val="11"/>
      <name val="Swis721 Cn BT"/>
      <family val="2"/>
    </font>
    <font>
      <b/>
      <sz val="11"/>
      <color theme="0"/>
      <name val="Swis721 Cn BT"/>
      <family val="2"/>
    </font>
    <font>
      <b/>
      <sz val="11"/>
      <color theme="1"/>
      <name val="Swis721 Cn BT"/>
      <family val="2"/>
      <charset val="238"/>
    </font>
    <font>
      <sz val="11"/>
      <name val="Symbol"/>
      <family val="1"/>
      <charset val="2"/>
    </font>
    <font>
      <sz val="7"/>
      <name val="Times New Roman"/>
      <family val="1"/>
    </font>
    <font>
      <sz val="11"/>
      <color theme="1"/>
      <name val="Aptos"/>
      <family val="2"/>
    </font>
    <font>
      <b/>
      <sz val="18"/>
      <color theme="0"/>
      <name val="Aptos"/>
      <family val="2"/>
    </font>
    <font>
      <b/>
      <sz val="11"/>
      <color rgb="FF875F25"/>
      <name val="Aptos"/>
      <family val="2"/>
    </font>
    <font>
      <sz val="11"/>
      <color rgb="FF875F25"/>
      <name val="Aptos"/>
      <family val="2"/>
    </font>
    <font>
      <b/>
      <sz val="11"/>
      <color theme="1"/>
      <name val="Aptos"/>
      <family val="2"/>
    </font>
    <font>
      <b/>
      <sz val="11"/>
      <name val="Aptos"/>
      <family val="2"/>
    </font>
    <font>
      <b/>
      <sz val="11"/>
      <color theme="0"/>
      <name val="Aptos"/>
      <family val="2"/>
    </font>
    <font>
      <b/>
      <sz val="18"/>
      <color rgb="FF875F25"/>
      <name val="Aptos"/>
      <family val="2"/>
    </font>
    <font>
      <sz val="11"/>
      <color theme="0"/>
      <name val="Aptos"/>
      <family val="2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</font>
    <font>
      <sz val="8"/>
      <name val="Aptos Narrow"/>
      <family val="2"/>
      <scheme val="minor"/>
    </font>
    <font>
      <sz val="9"/>
      <color theme="1"/>
      <name val="Aptos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ptos"/>
      <family val="2"/>
    </font>
    <font>
      <sz val="11"/>
      <color rgb="FFC48B36"/>
      <name val="Aptos"/>
      <family val="2"/>
    </font>
    <font>
      <sz val="7"/>
      <name val="Arial"/>
      <family val="2"/>
      <charset val="238"/>
    </font>
    <font>
      <b/>
      <sz val="11"/>
      <color theme="1"/>
      <name val="Aptos"/>
    </font>
    <font>
      <sz val="11"/>
      <name val="Aptos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875F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48B36"/>
        <bgColor indexed="64"/>
      </patternFill>
    </fill>
    <fill>
      <patternFill patternType="solid">
        <fgColor rgb="FFFFF8DD"/>
        <bgColor indexed="64"/>
      </patternFill>
    </fill>
    <fill>
      <patternFill patternType="solid">
        <fgColor rgb="FFFFEEB7"/>
        <bgColor indexed="64"/>
      </patternFill>
    </fill>
  </fills>
  <borders count="1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hair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dotted">
        <color indexed="64"/>
      </right>
      <top style="hair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1" fillId="0" borderId="0"/>
    <xf numFmtId="0" fontId="9" fillId="0" borderId="0"/>
    <xf numFmtId="0" fontId="24" fillId="0" borderId="0"/>
    <xf numFmtId="4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5" fillId="0" borderId="0" applyNumberFormat="0" applyFill="0" applyBorder="0" applyAlignment="0" applyProtection="0"/>
  </cellStyleXfs>
  <cellXfs count="1666">
    <xf numFmtId="0" fontId="0" fillId="0" borderId="0" xfId="0"/>
    <xf numFmtId="0" fontId="7" fillId="0" borderId="0" xfId="0" applyFont="1"/>
    <xf numFmtId="0" fontId="10" fillId="0" borderId="0" xfId="6" applyFont="1" applyAlignment="1">
      <alignment horizontal="center"/>
    </xf>
    <xf numFmtId="0" fontId="11" fillId="0" borderId="0" xfId="6" applyFont="1"/>
    <xf numFmtId="0" fontId="9" fillId="0" borderId="0" xfId="6"/>
    <xf numFmtId="0" fontId="12" fillId="0" borderId="0" xfId="6" applyFont="1" applyAlignment="1">
      <alignment horizontal="left"/>
    </xf>
    <xf numFmtId="0" fontId="13" fillId="0" borderId="0" xfId="6" applyFont="1" applyAlignment="1">
      <alignment horizontal="center"/>
    </xf>
    <xf numFmtId="0" fontId="14" fillId="0" borderId="0" xfId="6" applyFont="1" applyAlignment="1">
      <alignment horizontal="left" indent="1"/>
    </xf>
    <xf numFmtId="0" fontId="8" fillId="0" borderId="0" xfId="6" applyFont="1" applyAlignment="1">
      <alignment horizontal="left" indent="1"/>
    </xf>
    <xf numFmtId="0" fontId="13" fillId="0" borderId="0" xfId="6" applyFont="1"/>
    <xf numFmtId="0" fontId="13" fillId="0" borderId="1" xfId="6" applyFont="1" applyBorder="1" applyAlignment="1">
      <alignment horizontal="left"/>
    </xf>
    <xf numFmtId="0" fontId="9" fillId="0" borderId="1" xfId="6" applyBorder="1"/>
    <xf numFmtId="0" fontId="13" fillId="0" borderId="1" xfId="6" applyFont="1" applyBorder="1" applyAlignment="1">
      <alignment horizontal="center"/>
    </xf>
    <xf numFmtId="0" fontId="11" fillId="0" borderId="1" xfId="6" applyFont="1" applyBorder="1"/>
    <xf numFmtId="0" fontId="15" fillId="4" borderId="1" xfId="6" applyFont="1" applyFill="1" applyBorder="1" applyAlignment="1">
      <alignment horizontal="center"/>
    </xf>
    <xf numFmtId="0" fontId="15" fillId="0" borderId="1" xfId="6" applyFont="1" applyBorder="1" applyAlignment="1">
      <alignment horizontal="center"/>
    </xf>
    <xf numFmtId="0" fontId="16" fillId="0" borderId="1" xfId="6" applyFont="1" applyBorder="1" applyAlignment="1">
      <alignment horizontal="center"/>
    </xf>
    <xf numFmtId="0" fontId="17" fillId="0" borderId="1" xfId="6" applyFont="1" applyBorder="1" applyAlignment="1">
      <alignment horizontal="center"/>
    </xf>
    <xf numFmtId="0" fontId="18" fillId="0" borderId="0" xfId="6" applyFont="1" applyAlignment="1">
      <alignment horizontal="left"/>
    </xf>
    <xf numFmtId="0" fontId="18" fillId="0" borderId="0" xfId="6" applyFont="1"/>
    <xf numFmtId="0" fontId="18" fillId="0" borderId="0" xfId="6" applyFont="1" applyAlignment="1">
      <alignment horizontal="center"/>
    </xf>
    <xf numFmtId="0" fontId="19" fillId="0" borderId="5" xfId="6" applyFont="1" applyBorder="1" applyAlignment="1">
      <alignment horizontal="center"/>
    </xf>
    <xf numFmtId="0" fontId="11" fillId="0" borderId="6" xfId="6" applyFont="1" applyBorder="1" applyAlignment="1">
      <alignment horizontal="center" wrapText="1"/>
    </xf>
    <xf numFmtId="164" fontId="11" fillId="0" borderId="7" xfId="6" applyNumberFormat="1" applyFont="1" applyBorder="1" applyAlignment="1">
      <alignment horizontal="center" vertical="center"/>
    </xf>
    <xf numFmtId="164" fontId="11" fillId="0" borderId="8" xfId="6" applyNumberFormat="1" applyFont="1" applyBorder="1" applyAlignment="1">
      <alignment horizontal="center" vertical="center"/>
    </xf>
    <xf numFmtId="164" fontId="11" fillId="0" borderId="9" xfId="6" applyNumberFormat="1" applyFont="1" applyBorder="1" applyAlignment="1">
      <alignment horizontal="center" vertical="center"/>
    </xf>
    <xf numFmtId="0" fontId="19" fillId="0" borderId="8" xfId="6" applyFont="1" applyBorder="1" applyAlignment="1">
      <alignment horizontal="center" vertical="center"/>
    </xf>
    <xf numFmtId="164" fontId="19" fillId="0" borderId="8" xfId="6" applyNumberFormat="1" applyFont="1" applyBorder="1" applyAlignment="1">
      <alignment horizontal="center" vertical="center"/>
    </xf>
    <xf numFmtId="164" fontId="19" fillId="0" borderId="9" xfId="6" applyNumberFormat="1" applyFont="1" applyBorder="1" applyAlignment="1">
      <alignment horizontal="center" vertical="center"/>
    </xf>
    <xf numFmtId="0" fontId="9" fillId="0" borderId="11" xfId="6" applyBorder="1"/>
    <xf numFmtId="1" fontId="9" fillId="0" borderId="12" xfId="6" applyNumberFormat="1" applyBorder="1" applyAlignment="1">
      <alignment horizontal="center"/>
    </xf>
    <xf numFmtId="1" fontId="20" fillId="0" borderId="13" xfId="6" applyNumberFormat="1" applyFont="1" applyBorder="1" applyAlignment="1">
      <alignment horizontal="center"/>
    </xf>
    <xf numFmtId="1" fontId="20" fillId="0" borderId="11" xfId="6" applyNumberFormat="1" applyFont="1" applyBorder="1" applyAlignment="1">
      <alignment horizontal="center"/>
    </xf>
    <xf numFmtId="0" fontId="21" fillId="0" borderId="11" xfId="6" applyFont="1" applyBorder="1" applyAlignment="1">
      <alignment horizontal="center"/>
    </xf>
    <xf numFmtId="1" fontId="20" fillId="5" borderId="11" xfId="6" applyNumberFormat="1" applyFont="1" applyFill="1" applyBorder="1" applyAlignment="1">
      <alignment horizontal="center"/>
    </xf>
    <xf numFmtId="1" fontId="20" fillId="0" borderId="14" xfId="6" applyNumberFormat="1" applyFont="1" applyBorder="1" applyAlignment="1">
      <alignment horizontal="center"/>
    </xf>
    <xf numFmtId="0" fontId="9" fillId="0" borderId="14" xfId="6" applyBorder="1"/>
    <xf numFmtId="0" fontId="9" fillId="0" borderId="16" xfId="6" applyBorder="1"/>
    <xf numFmtId="1" fontId="9" fillId="0" borderId="17" xfId="6" applyNumberFormat="1" applyBorder="1" applyAlignment="1">
      <alignment horizontal="center"/>
    </xf>
    <xf numFmtId="1" fontId="20" fillId="0" borderId="18" xfId="6" applyNumberFormat="1" applyFont="1" applyBorder="1" applyAlignment="1">
      <alignment horizontal="center"/>
    </xf>
    <xf numFmtId="1" fontId="20" fillId="0" borderId="16" xfId="6" applyNumberFormat="1" applyFont="1" applyBorder="1" applyAlignment="1">
      <alignment horizontal="center"/>
    </xf>
    <xf numFmtId="0" fontId="21" fillId="0" borderId="16" xfId="6" applyFont="1" applyBorder="1" applyAlignment="1">
      <alignment horizontal="center"/>
    </xf>
    <xf numFmtId="1" fontId="20" fillId="6" borderId="16" xfId="6" applyNumberFormat="1" applyFont="1" applyFill="1" applyBorder="1" applyAlignment="1">
      <alignment horizontal="center"/>
    </xf>
    <xf numFmtId="1" fontId="20" fillId="0" borderId="19" xfId="6" applyNumberFormat="1" applyFont="1" applyBorder="1" applyAlignment="1">
      <alignment horizontal="center"/>
    </xf>
    <xf numFmtId="0" fontId="9" fillId="0" borderId="19" xfId="6" applyBorder="1"/>
    <xf numFmtId="0" fontId="11" fillId="0" borderId="16" xfId="6" applyFont="1" applyBorder="1"/>
    <xf numFmtId="0" fontId="21" fillId="5" borderId="16" xfId="6" applyFont="1" applyFill="1" applyBorder="1" applyAlignment="1">
      <alignment horizontal="center"/>
    </xf>
    <xf numFmtId="1" fontId="20" fillId="5" borderId="16" xfId="6" applyNumberFormat="1" applyFont="1" applyFill="1" applyBorder="1" applyAlignment="1">
      <alignment horizontal="center"/>
    </xf>
    <xf numFmtId="0" fontId="9" fillId="0" borderId="8" xfId="6" applyBorder="1"/>
    <xf numFmtId="1" fontId="9" fillId="0" borderId="21" xfId="6" applyNumberFormat="1" applyBorder="1" applyAlignment="1">
      <alignment horizontal="center"/>
    </xf>
    <xf numFmtId="1" fontId="20" fillId="0" borderId="7" xfId="6" applyNumberFormat="1" applyFont="1" applyBorder="1" applyAlignment="1">
      <alignment horizontal="center"/>
    </xf>
    <xf numFmtId="1" fontId="20" fillId="0" borderId="8" xfId="6" applyNumberFormat="1" applyFont="1" applyBorder="1" applyAlignment="1">
      <alignment horizontal="center"/>
    </xf>
    <xf numFmtId="0" fontId="21" fillId="0" borderId="8" xfId="6" applyFont="1" applyBorder="1" applyAlignment="1">
      <alignment horizontal="center"/>
    </xf>
    <xf numFmtId="0" fontId="11" fillId="0" borderId="8" xfId="6" applyFont="1" applyBorder="1"/>
    <xf numFmtId="1" fontId="20" fillId="0" borderId="9" xfId="6" applyNumberFormat="1" applyFont="1" applyBorder="1" applyAlignment="1">
      <alignment horizontal="center"/>
    </xf>
    <xf numFmtId="0" fontId="9" fillId="0" borderId="9" xfId="6" applyBorder="1"/>
    <xf numFmtId="0" fontId="9" fillId="0" borderId="13" xfId="6" applyBorder="1"/>
    <xf numFmtId="0" fontId="11" fillId="0" borderId="19" xfId="6" applyFont="1" applyBorder="1"/>
    <xf numFmtId="0" fontId="21" fillId="7" borderId="16" xfId="6" applyFont="1" applyFill="1" applyBorder="1" applyAlignment="1">
      <alignment horizontal="center"/>
    </xf>
    <xf numFmtId="0" fontId="9" fillId="0" borderId="18" xfId="6" applyBorder="1"/>
    <xf numFmtId="0" fontId="21" fillId="0" borderId="9" xfId="6" applyFont="1" applyBorder="1" applyAlignment="1">
      <alignment horizontal="center"/>
    </xf>
    <xf numFmtId="0" fontId="9" fillId="0" borderId="7" xfId="6" applyBorder="1"/>
    <xf numFmtId="0" fontId="13" fillId="0" borderId="22" xfId="6" applyFont="1" applyBorder="1" applyAlignment="1">
      <alignment vertical="top"/>
    </xf>
    <xf numFmtId="0" fontId="9" fillId="0" borderId="23" xfId="6" applyBorder="1"/>
    <xf numFmtId="1" fontId="9" fillId="0" borderId="24" xfId="6" applyNumberFormat="1" applyBorder="1" applyAlignment="1">
      <alignment horizontal="center"/>
    </xf>
    <xf numFmtId="1" fontId="20" fillId="0" borderId="22" xfId="6" applyNumberFormat="1" applyFont="1" applyBorder="1" applyAlignment="1">
      <alignment horizontal="center"/>
    </xf>
    <xf numFmtId="1" fontId="20" fillId="0" borderId="23" xfId="6" applyNumberFormat="1" applyFont="1" applyBorder="1" applyAlignment="1">
      <alignment horizontal="center"/>
    </xf>
    <xf numFmtId="0" fontId="11" fillId="0" borderId="23" xfId="6" applyFont="1" applyBorder="1"/>
    <xf numFmtId="0" fontId="21" fillId="0" borderId="23" xfId="6" applyFont="1" applyBorder="1" applyAlignment="1">
      <alignment horizontal="center"/>
    </xf>
    <xf numFmtId="1" fontId="20" fillId="0" borderId="25" xfId="6" applyNumberFormat="1" applyFont="1" applyBorder="1" applyAlignment="1">
      <alignment horizontal="center"/>
    </xf>
    <xf numFmtId="0" fontId="11" fillId="0" borderId="22" xfId="6" applyFont="1" applyBorder="1"/>
    <xf numFmtId="1" fontId="20" fillId="8" borderId="23" xfId="6" applyNumberFormat="1" applyFont="1" applyFill="1" applyBorder="1" applyAlignment="1">
      <alignment horizontal="center"/>
    </xf>
    <xf numFmtId="0" fontId="9" fillId="0" borderId="25" xfId="6" applyBorder="1"/>
    <xf numFmtId="0" fontId="9" fillId="0" borderId="22" xfId="6" applyBorder="1"/>
    <xf numFmtId="0" fontId="21" fillId="0" borderId="14" xfId="6" applyFont="1" applyBorder="1" applyAlignment="1">
      <alignment horizontal="center"/>
    </xf>
    <xf numFmtId="1" fontId="20" fillId="0" borderId="12" xfId="6" applyNumberFormat="1" applyFont="1" applyBorder="1" applyAlignment="1">
      <alignment horizontal="center"/>
    </xf>
    <xf numFmtId="0" fontId="9" fillId="0" borderId="26" xfId="6" applyBorder="1"/>
    <xf numFmtId="0" fontId="21" fillId="0" borderId="19" xfId="6" applyFont="1" applyBorder="1" applyAlignment="1">
      <alignment horizontal="center"/>
    </xf>
    <xf numFmtId="1" fontId="20" fillId="0" borderId="17" xfId="6" applyNumberFormat="1" applyFont="1" applyBorder="1" applyAlignment="1">
      <alignment horizontal="center"/>
    </xf>
    <xf numFmtId="0" fontId="21" fillId="0" borderId="18" xfId="6" applyFont="1" applyBorder="1" applyAlignment="1">
      <alignment horizontal="center"/>
    </xf>
    <xf numFmtId="0" fontId="21" fillId="5" borderId="17" xfId="6" applyFont="1" applyFill="1" applyBorder="1" applyAlignment="1">
      <alignment horizontal="center"/>
    </xf>
    <xf numFmtId="0" fontId="21" fillId="5" borderId="18" xfId="6" applyFont="1" applyFill="1" applyBorder="1" applyAlignment="1">
      <alignment horizontal="center"/>
    </xf>
    <xf numFmtId="0" fontId="21" fillId="0" borderId="17" xfId="6" applyFont="1" applyBorder="1" applyAlignment="1">
      <alignment horizontal="center"/>
    </xf>
    <xf numFmtId="1" fontId="22" fillId="0" borderId="16" xfId="6" applyNumberFormat="1" applyFont="1" applyBorder="1" applyAlignment="1">
      <alignment horizontal="center"/>
    </xf>
    <xf numFmtId="0" fontId="21" fillId="0" borderId="7" xfId="6" applyFont="1" applyBorder="1" applyAlignment="1">
      <alignment horizontal="center"/>
    </xf>
    <xf numFmtId="0" fontId="9" fillId="0" borderId="21" xfId="6" applyBorder="1"/>
    <xf numFmtId="0" fontId="21" fillId="5" borderId="8" xfId="6" applyFont="1" applyFill="1" applyBorder="1" applyAlignment="1">
      <alignment horizontal="center"/>
    </xf>
    <xf numFmtId="0" fontId="21" fillId="6" borderId="8" xfId="6" applyFont="1" applyFill="1" applyBorder="1" applyAlignment="1">
      <alignment horizontal="center"/>
    </xf>
    <xf numFmtId="0" fontId="11" fillId="0" borderId="11" xfId="6" applyFont="1" applyBorder="1"/>
    <xf numFmtId="1" fontId="20" fillId="9" borderId="11" xfId="6" applyNumberFormat="1" applyFont="1" applyFill="1" applyBorder="1" applyAlignment="1">
      <alignment horizontal="center"/>
    </xf>
    <xf numFmtId="1" fontId="20" fillId="9" borderId="16" xfId="6" applyNumberFormat="1" applyFont="1" applyFill="1" applyBorder="1" applyAlignment="1">
      <alignment horizontal="center"/>
    </xf>
    <xf numFmtId="1" fontId="20" fillId="9" borderId="19" xfId="6" applyNumberFormat="1" applyFont="1" applyFill="1" applyBorder="1" applyAlignment="1">
      <alignment horizontal="center"/>
    </xf>
    <xf numFmtId="1" fontId="20" fillId="9" borderId="18" xfId="6" applyNumberFormat="1" applyFont="1" applyFill="1" applyBorder="1" applyAlignment="1">
      <alignment horizontal="center"/>
    </xf>
    <xf numFmtId="1" fontId="20" fillId="9" borderId="8" xfId="6" applyNumberFormat="1" applyFont="1" applyFill="1" applyBorder="1" applyAlignment="1">
      <alignment horizontal="center"/>
    </xf>
    <xf numFmtId="0" fontId="21" fillId="0" borderId="13" xfId="6" applyFont="1" applyBorder="1" applyAlignment="1">
      <alignment horizontal="center"/>
    </xf>
    <xf numFmtId="0" fontId="21" fillId="10" borderId="11" xfId="6" applyFont="1" applyFill="1" applyBorder="1" applyAlignment="1">
      <alignment horizontal="center"/>
    </xf>
    <xf numFmtId="0" fontId="21" fillId="10" borderId="16" xfId="6" applyFont="1" applyFill="1" applyBorder="1" applyAlignment="1">
      <alignment horizontal="center"/>
    </xf>
    <xf numFmtId="0" fontId="21" fillId="10" borderId="8" xfId="6" applyFont="1" applyFill="1" applyBorder="1" applyAlignment="1">
      <alignment horizontal="center"/>
    </xf>
    <xf numFmtId="1" fontId="20" fillId="2" borderId="11" xfId="6" applyNumberFormat="1" applyFont="1" applyFill="1" applyBorder="1" applyAlignment="1">
      <alignment horizontal="center"/>
    </xf>
    <xf numFmtId="1" fontId="20" fillId="2" borderId="16" xfId="6" applyNumberFormat="1" applyFont="1" applyFill="1" applyBorder="1" applyAlignment="1">
      <alignment horizontal="center"/>
    </xf>
    <xf numFmtId="1" fontId="20" fillId="2" borderId="8" xfId="6" applyNumberFormat="1" applyFont="1" applyFill="1" applyBorder="1" applyAlignment="1">
      <alignment horizontal="center"/>
    </xf>
    <xf numFmtId="1" fontId="20" fillId="2" borderId="9" xfId="6" applyNumberFormat="1" applyFont="1" applyFill="1" applyBorder="1" applyAlignment="1">
      <alignment horizontal="center"/>
    </xf>
    <xf numFmtId="1" fontId="20" fillId="2" borderId="7" xfId="6" applyNumberFormat="1" applyFont="1" applyFill="1" applyBorder="1" applyAlignment="1">
      <alignment horizontal="center"/>
    </xf>
    <xf numFmtId="1" fontId="20" fillId="11" borderId="11" xfId="6" applyNumberFormat="1" applyFont="1" applyFill="1" applyBorder="1" applyAlignment="1">
      <alignment horizontal="center"/>
    </xf>
    <xf numFmtId="0" fontId="21" fillId="11" borderId="16" xfId="6" applyFont="1" applyFill="1" applyBorder="1" applyAlignment="1">
      <alignment horizontal="center"/>
    </xf>
    <xf numFmtId="1" fontId="20" fillId="11" borderId="16" xfId="6" applyNumberFormat="1" applyFont="1" applyFill="1" applyBorder="1" applyAlignment="1">
      <alignment horizontal="center"/>
    </xf>
    <xf numFmtId="1" fontId="20" fillId="11" borderId="19" xfId="6" applyNumberFormat="1" applyFont="1" applyFill="1" applyBorder="1" applyAlignment="1">
      <alignment horizontal="center"/>
    </xf>
    <xf numFmtId="1" fontId="20" fillId="11" borderId="18" xfId="6" applyNumberFormat="1" applyFont="1" applyFill="1" applyBorder="1" applyAlignment="1">
      <alignment horizontal="center"/>
    </xf>
    <xf numFmtId="0" fontId="21" fillId="11" borderId="8" xfId="6" applyFont="1" applyFill="1" applyBorder="1" applyAlignment="1">
      <alignment horizontal="center"/>
    </xf>
    <xf numFmtId="0" fontId="21" fillId="11" borderId="9" xfId="6" applyFont="1" applyFill="1" applyBorder="1" applyAlignment="1">
      <alignment horizontal="center"/>
    </xf>
    <xf numFmtId="0" fontId="21" fillId="8" borderId="11" xfId="6" applyFont="1" applyFill="1" applyBorder="1" applyAlignment="1">
      <alignment horizontal="center"/>
    </xf>
    <xf numFmtId="0" fontId="21" fillId="8" borderId="8" xfId="6" applyFont="1" applyFill="1" applyBorder="1" applyAlignment="1">
      <alignment horizontal="center"/>
    </xf>
    <xf numFmtId="0" fontId="21" fillId="8" borderId="9" xfId="6" applyFont="1" applyFill="1" applyBorder="1" applyAlignment="1">
      <alignment horizontal="center"/>
    </xf>
    <xf numFmtId="1" fontId="20" fillId="12" borderId="11" xfId="6" applyNumberFormat="1" applyFont="1" applyFill="1" applyBorder="1" applyAlignment="1">
      <alignment horizontal="center"/>
    </xf>
    <xf numFmtId="1" fontId="20" fillId="12" borderId="14" xfId="6" applyNumberFormat="1" applyFont="1" applyFill="1" applyBorder="1" applyAlignment="1">
      <alignment horizontal="center"/>
    </xf>
    <xf numFmtId="1" fontId="20" fillId="12" borderId="13" xfId="6" applyNumberFormat="1" applyFont="1" applyFill="1" applyBorder="1" applyAlignment="1">
      <alignment horizontal="center"/>
    </xf>
    <xf numFmtId="1" fontId="20" fillId="13" borderId="8" xfId="6" applyNumberFormat="1" applyFont="1" applyFill="1" applyBorder="1" applyAlignment="1">
      <alignment horizontal="center"/>
    </xf>
    <xf numFmtId="1" fontId="20" fillId="13" borderId="9" xfId="6" applyNumberFormat="1" applyFont="1" applyFill="1" applyBorder="1" applyAlignment="1">
      <alignment horizontal="center"/>
    </xf>
    <xf numFmtId="0" fontId="9" fillId="0" borderId="28" xfId="6" applyBorder="1"/>
    <xf numFmtId="0" fontId="9" fillId="0" borderId="29" xfId="6" applyBorder="1"/>
    <xf numFmtId="0" fontId="11" fillId="0" borderId="29" xfId="6" applyFont="1" applyBorder="1"/>
    <xf numFmtId="0" fontId="11" fillId="0" borderId="22" xfId="6" applyFont="1" applyBorder="1" applyAlignment="1">
      <alignment horizontal="center"/>
    </xf>
    <xf numFmtId="0" fontId="11" fillId="0" borderId="23" xfId="6" applyFont="1" applyBorder="1" applyAlignment="1">
      <alignment horizontal="center"/>
    </xf>
    <xf numFmtId="0" fontId="21" fillId="11" borderId="23" xfId="6" applyFont="1" applyFill="1" applyBorder="1" applyAlignment="1">
      <alignment horizontal="center"/>
    </xf>
    <xf numFmtId="0" fontId="21" fillId="11" borderId="25" xfId="6" applyFont="1" applyFill="1" applyBorder="1" applyAlignment="1">
      <alignment horizontal="center"/>
    </xf>
    <xf numFmtId="0" fontId="21" fillId="11" borderId="22" xfId="6" applyFont="1" applyFill="1" applyBorder="1" applyAlignment="1">
      <alignment horizontal="center"/>
    </xf>
    <xf numFmtId="1" fontId="9" fillId="0" borderId="14" xfId="6" applyNumberFormat="1" applyBorder="1" applyAlignment="1">
      <alignment horizontal="center"/>
    </xf>
    <xf numFmtId="0" fontId="11" fillId="0" borderId="13" xfId="6" applyFont="1" applyBorder="1"/>
    <xf numFmtId="0" fontId="21" fillId="14" borderId="12" xfId="6" applyFont="1" applyFill="1" applyBorder="1" applyAlignment="1">
      <alignment horizontal="center"/>
    </xf>
    <xf numFmtId="0" fontId="21" fillId="14" borderId="13" xfId="6" applyFont="1" applyFill="1" applyBorder="1" applyAlignment="1">
      <alignment horizontal="center"/>
    </xf>
    <xf numFmtId="0" fontId="21" fillId="14" borderId="11" xfId="6" applyFont="1" applyFill="1" applyBorder="1" applyAlignment="1">
      <alignment horizontal="center"/>
    </xf>
    <xf numFmtId="0" fontId="21" fillId="14" borderId="14" xfId="6" applyFont="1" applyFill="1" applyBorder="1" applyAlignment="1">
      <alignment horizontal="center"/>
    </xf>
    <xf numFmtId="1" fontId="9" fillId="0" borderId="9" xfId="6" applyNumberFormat="1" applyBorder="1" applyAlignment="1">
      <alignment horizontal="center"/>
    </xf>
    <xf numFmtId="0" fontId="11" fillId="0" borderId="7" xfId="6" applyFont="1" applyBorder="1"/>
    <xf numFmtId="0" fontId="11" fillId="0" borderId="21" xfId="6" applyFont="1" applyBorder="1"/>
    <xf numFmtId="0" fontId="21" fillId="15" borderId="7" xfId="6" applyFont="1" applyFill="1" applyBorder="1" applyAlignment="1">
      <alignment horizontal="center"/>
    </xf>
    <xf numFmtId="0" fontId="21" fillId="15" borderId="8" xfId="6" applyFont="1" applyFill="1" applyBorder="1" applyAlignment="1">
      <alignment horizontal="center"/>
    </xf>
    <xf numFmtId="0" fontId="21" fillId="15" borderId="9" xfId="6" applyFont="1" applyFill="1" applyBorder="1" applyAlignment="1">
      <alignment horizontal="center"/>
    </xf>
    <xf numFmtId="9" fontId="9" fillId="0" borderId="0" xfId="6" applyNumberFormat="1"/>
    <xf numFmtId="0" fontId="23" fillId="0" borderId="0" xfId="6" applyFont="1"/>
    <xf numFmtId="0" fontId="1" fillId="0" borderId="0" xfId="6" applyFont="1" applyAlignment="1">
      <alignment vertical="center"/>
    </xf>
    <xf numFmtId="0" fontId="24" fillId="0" borderId="0" xfId="7"/>
    <xf numFmtId="0" fontId="24" fillId="16" borderId="0" xfId="7" applyFill="1"/>
    <xf numFmtId="165" fontId="24" fillId="0" borderId="0" xfId="7" applyNumberFormat="1"/>
    <xf numFmtId="0" fontId="24" fillId="17" borderId="0" xfId="7" applyFill="1"/>
    <xf numFmtId="0" fontId="24" fillId="8" borderId="0" xfId="7" applyFill="1"/>
    <xf numFmtId="0" fontId="26" fillId="0" borderId="0" xfId="7" applyFont="1" applyAlignment="1">
      <alignment horizontal="center" vertical="center"/>
    </xf>
    <xf numFmtId="0" fontId="28" fillId="0" borderId="0" xfId="7" applyFont="1"/>
    <xf numFmtId="165" fontId="24" fillId="0" borderId="0" xfId="7" applyNumberFormat="1" applyAlignment="1">
      <alignment horizontal="center"/>
    </xf>
    <xf numFmtId="0" fontId="24" fillId="0" borderId="0" xfId="7" applyAlignment="1">
      <alignment horizontal="center"/>
    </xf>
    <xf numFmtId="0" fontId="29" fillId="0" borderId="0" xfId="7" applyFont="1" applyAlignment="1">
      <alignment horizontal="left"/>
    </xf>
    <xf numFmtId="0" fontId="30" fillId="0" borderId="0" xfId="7" applyFont="1" applyAlignment="1">
      <alignment horizontal="center"/>
    </xf>
    <xf numFmtId="49" fontId="24" fillId="0" borderId="0" xfId="7" applyNumberFormat="1"/>
    <xf numFmtId="165" fontId="0" fillId="0" borderId="0" xfId="8" applyNumberFormat="1" applyFont="1" applyBorder="1"/>
    <xf numFmtId="166" fontId="0" fillId="0" borderId="0" xfId="8" applyNumberFormat="1" applyFont="1" applyBorder="1"/>
    <xf numFmtId="0" fontId="28" fillId="0" borderId="6" xfId="7" applyFont="1" applyBorder="1" applyAlignment="1">
      <alignment horizontal="left" vertical="center" indent="1"/>
    </xf>
    <xf numFmtId="168" fontId="29" fillId="19" borderId="29" xfId="9" applyNumberFormat="1" applyFont="1" applyFill="1" applyBorder="1" applyAlignment="1">
      <alignment horizontal="center" vertical="center"/>
    </xf>
    <xf numFmtId="0" fontId="30" fillId="0" borderId="29" xfId="7" applyFont="1" applyBorder="1" applyAlignment="1">
      <alignment horizontal="center" vertical="center"/>
    </xf>
    <xf numFmtId="168" fontId="28" fillId="0" borderId="29" xfId="9" applyNumberFormat="1" applyFont="1" applyBorder="1" applyAlignment="1">
      <alignment horizontal="center" vertical="center"/>
    </xf>
    <xf numFmtId="0" fontId="24" fillId="0" borderId="29" xfId="7" applyBorder="1" applyAlignment="1">
      <alignment vertical="center"/>
    </xf>
    <xf numFmtId="0" fontId="24" fillId="0" borderId="43" xfId="7" applyBorder="1" applyAlignment="1">
      <alignment vertical="center"/>
    </xf>
    <xf numFmtId="0" fontId="31" fillId="0" borderId="0" xfId="7" applyFont="1" applyAlignment="1">
      <alignment horizontal="left" vertical="center"/>
    </xf>
    <xf numFmtId="0" fontId="30" fillId="0" borderId="0" xfId="7" applyFont="1" applyAlignment="1">
      <alignment horizontal="center" vertical="center"/>
    </xf>
    <xf numFmtId="168" fontId="28" fillId="0" borderId="0" xfId="9" applyNumberFormat="1" applyFont="1" applyBorder="1" applyAlignment="1">
      <alignment horizontal="center" vertical="center"/>
    </xf>
    <xf numFmtId="0" fontId="24" fillId="0" borderId="0" xfId="7" applyAlignment="1">
      <alignment vertical="center"/>
    </xf>
    <xf numFmtId="0" fontId="28" fillId="0" borderId="13" xfId="7" applyFont="1" applyBorder="1" applyAlignment="1">
      <alignment horizontal="left" vertical="center" indent="1"/>
    </xf>
    <xf numFmtId="168" fontId="29" fillId="19" borderId="11" xfId="9" applyNumberFormat="1" applyFont="1" applyFill="1" applyBorder="1" applyAlignment="1">
      <alignment horizontal="center" vertical="center"/>
    </xf>
    <xf numFmtId="0" fontId="30" fillId="0" borderId="11" xfId="7" applyFont="1" applyBorder="1" applyAlignment="1">
      <alignment horizontal="center" vertical="center"/>
    </xf>
    <xf numFmtId="168" fontId="28" fillId="0" borderId="11" xfId="9" applyNumberFormat="1" applyFont="1" applyBorder="1" applyAlignment="1">
      <alignment horizontal="center" vertical="center"/>
    </xf>
    <xf numFmtId="0" fontId="24" fillId="0" borderId="11" xfId="7" applyBorder="1" applyAlignment="1">
      <alignment vertical="center"/>
    </xf>
    <xf numFmtId="0" fontId="24" fillId="0" borderId="14" xfId="7" applyBorder="1" applyAlignment="1">
      <alignment vertical="center"/>
    </xf>
    <xf numFmtId="0" fontId="32" fillId="0" borderId="18" xfId="7" applyFont="1" applyBorder="1" applyAlignment="1">
      <alignment horizontal="left" vertical="center" indent="2"/>
    </xf>
    <xf numFmtId="168" fontId="29" fillId="0" borderId="16" xfId="9" applyNumberFormat="1" applyFont="1" applyFill="1" applyBorder="1" applyAlignment="1">
      <alignment horizontal="center" vertical="center"/>
    </xf>
    <xf numFmtId="0" fontId="30" fillId="0" borderId="16" xfId="7" applyFont="1" applyBorder="1" applyAlignment="1">
      <alignment horizontal="center" vertical="center"/>
    </xf>
    <xf numFmtId="168" fontId="28" fillId="0" borderId="16" xfId="9" applyNumberFormat="1" applyFont="1" applyBorder="1" applyAlignment="1">
      <alignment horizontal="center" vertical="center"/>
    </xf>
    <xf numFmtId="0" fontId="24" fillId="0" borderId="16" xfId="7" applyBorder="1" applyAlignment="1">
      <alignment vertical="center"/>
    </xf>
    <xf numFmtId="0" fontId="24" fillId="0" borderId="19" xfId="7" applyBorder="1" applyAlignment="1">
      <alignment vertical="center"/>
    </xf>
    <xf numFmtId="0" fontId="24" fillId="0" borderId="18" xfId="7" applyBorder="1" applyAlignment="1">
      <alignment horizontal="left" indent="1"/>
    </xf>
    <xf numFmtId="168" fontId="24" fillId="16" borderId="16" xfId="9" applyNumberFormat="1" applyFont="1" applyFill="1" applyBorder="1" applyAlignment="1">
      <alignment horizontal="right"/>
    </xf>
    <xf numFmtId="169" fontId="30" fillId="0" borderId="16" xfId="9" applyNumberFormat="1" applyFont="1" applyFill="1" applyBorder="1" applyAlignment="1">
      <alignment horizontal="center"/>
    </xf>
    <xf numFmtId="168" fontId="24" fillId="0" borderId="16" xfId="9" applyNumberFormat="1" applyFont="1" applyFill="1" applyBorder="1" applyAlignment="1">
      <alignment horizontal="center"/>
    </xf>
    <xf numFmtId="9" fontId="0" fillId="0" borderId="16" xfId="10" applyFont="1" applyFill="1" applyBorder="1" applyAlignment="1">
      <alignment horizontal="right"/>
    </xf>
    <xf numFmtId="0" fontId="24" fillId="0" borderId="19" xfId="7" applyBorder="1"/>
    <xf numFmtId="0" fontId="24" fillId="0" borderId="7" xfId="7" applyBorder="1" applyAlignment="1">
      <alignment horizontal="left" indent="1"/>
    </xf>
    <xf numFmtId="168" fontId="24" fillId="16" borderId="8" xfId="9" applyNumberFormat="1" applyFont="1" applyFill="1" applyBorder="1" applyAlignment="1"/>
    <xf numFmtId="169" fontId="30" fillId="0" borderId="8" xfId="9" applyNumberFormat="1" applyFont="1" applyFill="1" applyBorder="1" applyAlignment="1">
      <alignment horizontal="center"/>
    </xf>
    <xf numFmtId="168" fontId="24" fillId="0" borderId="8" xfId="9" applyNumberFormat="1" applyFont="1" applyFill="1" applyBorder="1" applyAlignment="1">
      <alignment horizontal="center"/>
    </xf>
    <xf numFmtId="9" fontId="0" fillId="0" borderId="8" xfId="10" applyFont="1" applyFill="1" applyBorder="1" applyAlignment="1">
      <alignment horizontal="right"/>
    </xf>
    <xf numFmtId="0" fontId="24" fillId="0" borderId="9" xfId="7" applyBorder="1" applyAlignment="1">
      <alignment horizontal="right"/>
    </xf>
    <xf numFmtId="0" fontId="31" fillId="0" borderId="0" xfId="7" applyFont="1" applyAlignment="1">
      <alignment horizontal="left"/>
    </xf>
    <xf numFmtId="168" fontId="28" fillId="0" borderId="0" xfId="9" applyNumberFormat="1" applyFont="1" applyBorder="1" applyAlignment="1">
      <alignment horizontal="center"/>
    </xf>
    <xf numFmtId="0" fontId="28" fillId="0" borderId="13" xfId="7" applyFont="1" applyBorder="1" applyAlignment="1">
      <alignment horizontal="left" indent="1"/>
    </xf>
    <xf numFmtId="168" fontId="29" fillId="0" borderId="11" xfId="7" applyNumberFormat="1" applyFont="1" applyBorder="1" applyAlignment="1">
      <alignment horizontal="center" vertical="center"/>
    </xf>
    <xf numFmtId="0" fontId="30" fillId="0" borderId="11" xfId="7" applyFont="1" applyBorder="1" applyAlignment="1">
      <alignment horizontal="center"/>
    </xf>
    <xf numFmtId="168" fontId="28" fillId="0" borderId="11" xfId="9" applyNumberFormat="1" applyFont="1" applyBorder="1" applyAlignment="1">
      <alignment horizontal="center"/>
    </xf>
    <xf numFmtId="0" fontId="24" fillId="0" borderId="11" xfId="7" applyBorder="1"/>
    <xf numFmtId="0" fontId="33" fillId="0" borderId="14" xfId="7" applyFont="1" applyBorder="1" applyAlignment="1">
      <alignment horizontal="center"/>
    </xf>
    <xf numFmtId="0" fontId="30" fillId="0" borderId="16" xfId="7" applyFont="1" applyBorder="1" applyAlignment="1">
      <alignment horizontal="center"/>
    </xf>
    <xf numFmtId="168" fontId="28" fillId="0" borderId="16" xfId="9" applyNumberFormat="1" applyFont="1" applyBorder="1" applyAlignment="1">
      <alignment horizontal="center"/>
    </xf>
    <xf numFmtId="0" fontId="24" fillId="0" borderId="16" xfId="7" applyBorder="1"/>
    <xf numFmtId="168" fontId="24" fillId="8" borderId="16" xfId="9" applyNumberFormat="1" applyFont="1" applyFill="1" applyBorder="1" applyAlignment="1"/>
    <xf numFmtId="1" fontId="0" fillId="0" borderId="16" xfId="10" applyNumberFormat="1" applyFont="1" applyFill="1" applyBorder="1" applyAlignment="1">
      <alignment horizontal="center"/>
    </xf>
    <xf numFmtId="0" fontId="24" fillId="16" borderId="19" xfId="7" applyFill="1" applyBorder="1" applyAlignment="1">
      <alignment horizontal="center"/>
    </xf>
    <xf numFmtId="168" fontId="24" fillId="8" borderId="8" xfId="9" applyNumberFormat="1" applyFont="1" applyFill="1" applyBorder="1" applyAlignment="1"/>
    <xf numFmtId="168" fontId="0" fillId="0" borderId="8" xfId="9" applyNumberFormat="1" applyFont="1" applyFill="1" applyBorder="1" applyAlignment="1">
      <alignment horizontal="center"/>
    </xf>
    <xf numFmtId="9" fontId="0" fillId="0" borderId="8" xfId="10" applyFont="1" applyFill="1" applyBorder="1" applyAlignment="1">
      <alignment horizontal="center"/>
    </xf>
    <xf numFmtId="0" fontId="24" fillId="16" borderId="9" xfId="7" applyFill="1" applyBorder="1" applyAlignment="1">
      <alignment horizontal="center"/>
    </xf>
    <xf numFmtId="0" fontId="24" fillId="0" borderId="0" xfId="7" applyAlignment="1">
      <alignment horizontal="left" indent="1"/>
    </xf>
    <xf numFmtId="168" fontId="24" fillId="0" borderId="0" xfId="9" applyNumberFormat="1" applyFont="1" applyFill="1" applyBorder="1" applyAlignment="1">
      <alignment horizontal="center"/>
    </xf>
    <xf numFmtId="169" fontId="30" fillId="0" borderId="0" xfId="9" applyNumberFormat="1" applyFont="1" applyFill="1" applyBorder="1" applyAlignment="1">
      <alignment horizontal="center"/>
    </xf>
    <xf numFmtId="9" fontId="24" fillId="0" borderId="0" xfId="10" applyFont="1" applyFill="1" applyBorder="1" applyAlignment="1">
      <alignment horizontal="right"/>
    </xf>
    <xf numFmtId="168" fontId="0" fillId="0" borderId="11" xfId="9" applyNumberFormat="1" applyFont="1" applyFill="1" applyBorder="1" applyAlignment="1">
      <alignment horizontal="center"/>
    </xf>
    <xf numFmtId="169" fontId="30" fillId="0" borderId="11" xfId="9" applyNumberFormat="1" applyFont="1" applyFill="1" applyBorder="1" applyAlignment="1">
      <alignment horizontal="center"/>
    </xf>
    <xf numFmtId="168" fontId="34" fillId="0" borderId="11" xfId="9" applyNumberFormat="1" applyFont="1" applyFill="1" applyBorder="1" applyAlignment="1">
      <alignment horizontal="center"/>
    </xf>
    <xf numFmtId="168" fontId="34" fillId="0" borderId="11" xfId="10" applyNumberFormat="1" applyFont="1" applyFill="1" applyBorder="1" applyAlignment="1">
      <alignment horizontal="center"/>
    </xf>
    <xf numFmtId="0" fontId="35" fillId="0" borderId="14" xfId="7" applyFont="1" applyBorder="1" applyAlignment="1">
      <alignment horizontal="center"/>
    </xf>
    <xf numFmtId="168" fontId="24" fillId="16" borderId="16" xfId="9" applyNumberFormat="1" applyFont="1" applyFill="1" applyBorder="1" applyAlignment="1">
      <alignment horizontal="center"/>
    </xf>
    <xf numFmtId="168" fontId="0" fillId="0" borderId="16" xfId="9" applyNumberFormat="1" applyFont="1" applyFill="1" applyBorder="1" applyAlignment="1">
      <alignment horizontal="center"/>
    </xf>
    <xf numFmtId="9" fontId="24" fillId="0" borderId="19" xfId="7" applyNumberFormat="1" applyBorder="1" applyAlignment="1">
      <alignment horizontal="center"/>
    </xf>
    <xf numFmtId="168" fontId="24" fillId="0" borderId="0" xfId="7" applyNumberFormat="1"/>
    <xf numFmtId="10" fontId="24" fillId="0" borderId="0" xfId="7" applyNumberFormat="1"/>
    <xf numFmtId="168" fontId="24" fillId="0" borderId="16" xfId="9" applyNumberFormat="1" applyFont="1" applyFill="1" applyBorder="1" applyAlignment="1">
      <alignment horizontal="center" vertical="center"/>
    </xf>
    <xf numFmtId="9" fontId="24" fillId="0" borderId="19" xfId="7" applyNumberFormat="1" applyBorder="1" applyAlignment="1">
      <alignment horizontal="center" vertical="center"/>
    </xf>
    <xf numFmtId="0" fontId="35" fillId="0" borderId="19" xfId="7" applyFont="1" applyBorder="1" applyAlignment="1">
      <alignment horizontal="center"/>
    </xf>
    <xf numFmtId="168" fontId="35" fillId="0" borderId="16" xfId="9" applyNumberFormat="1" applyFont="1" applyFill="1" applyBorder="1" applyAlignment="1">
      <alignment horizontal="center"/>
    </xf>
    <xf numFmtId="168" fontId="24" fillId="0" borderId="16" xfId="9" applyNumberFormat="1" applyFont="1" applyFill="1" applyBorder="1" applyAlignment="1">
      <alignment horizontal="right"/>
    </xf>
    <xf numFmtId="0" fontId="35" fillId="0" borderId="19" xfId="7" applyFont="1" applyBorder="1"/>
    <xf numFmtId="0" fontId="24" fillId="0" borderId="19" xfId="7" applyBorder="1" applyAlignment="1">
      <alignment horizontal="center"/>
    </xf>
    <xf numFmtId="169" fontId="35" fillId="0" borderId="16" xfId="9" applyNumberFormat="1" applyFont="1" applyFill="1" applyBorder="1" applyAlignment="1">
      <alignment horizontal="center"/>
    </xf>
    <xf numFmtId="9" fontId="35" fillId="0" borderId="19" xfId="10" applyFont="1" applyFill="1" applyBorder="1" applyAlignment="1">
      <alignment horizontal="center"/>
    </xf>
    <xf numFmtId="168" fontId="29" fillId="8" borderId="8" xfId="9" applyNumberFormat="1" applyFont="1" applyFill="1" applyBorder="1" applyAlignment="1">
      <alignment horizontal="center"/>
    </xf>
    <xf numFmtId="169" fontId="35" fillId="0" borderId="8" xfId="9" applyNumberFormat="1" applyFont="1" applyFill="1" applyBorder="1" applyAlignment="1">
      <alignment horizontal="center"/>
    </xf>
    <xf numFmtId="168" fontId="35" fillId="0" borderId="8" xfId="9" applyNumberFormat="1" applyFont="1" applyFill="1" applyBorder="1" applyAlignment="1">
      <alignment horizontal="center"/>
    </xf>
    <xf numFmtId="9" fontId="35" fillId="0" borderId="9" xfId="10" applyFont="1" applyFill="1" applyBorder="1" applyAlignment="1">
      <alignment horizontal="center"/>
    </xf>
    <xf numFmtId="169" fontId="35" fillId="0" borderId="0" xfId="9" applyNumberFormat="1" applyFont="1" applyFill="1" applyBorder="1" applyAlignment="1">
      <alignment horizontal="center"/>
    </xf>
    <xf numFmtId="9" fontId="35" fillId="0" borderId="0" xfId="10" applyFont="1" applyFill="1" applyBorder="1" applyAlignment="1">
      <alignment horizontal="center"/>
    </xf>
    <xf numFmtId="0" fontId="24" fillId="0" borderId="14" xfId="7" applyBorder="1" applyAlignment="1">
      <alignment horizontal="center"/>
    </xf>
    <xf numFmtId="168" fontId="35" fillId="16" borderId="16" xfId="9" applyNumberFormat="1" applyFont="1" applyFill="1" applyBorder="1" applyAlignment="1">
      <alignment horizontal="left"/>
    </xf>
    <xf numFmtId="167" fontId="24" fillId="16" borderId="16" xfId="9" applyFont="1" applyFill="1" applyBorder="1" applyAlignment="1">
      <alignment horizontal="center"/>
    </xf>
    <xf numFmtId="170" fontId="24" fillId="8" borderId="19" xfId="7" applyNumberFormat="1" applyFill="1" applyBorder="1" applyAlignment="1">
      <alignment horizontal="center"/>
    </xf>
    <xf numFmtId="0" fontId="28" fillId="0" borderId="7" xfId="7" applyFont="1" applyBorder="1" applyAlignment="1">
      <alignment horizontal="right" vertical="center" indent="1"/>
    </xf>
    <xf numFmtId="168" fontId="28" fillId="8" borderId="8" xfId="9" applyNumberFormat="1" applyFont="1" applyFill="1" applyBorder="1" applyAlignment="1">
      <alignment horizontal="center"/>
    </xf>
    <xf numFmtId="168" fontId="24" fillId="8" borderId="8" xfId="9" applyNumberFormat="1" applyFont="1" applyFill="1" applyBorder="1" applyAlignment="1">
      <alignment horizontal="center"/>
    </xf>
    <xf numFmtId="0" fontId="24" fillId="8" borderId="9" xfId="7" applyFill="1" applyBorder="1" applyAlignment="1">
      <alignment horizontal="center"/>
    </xf>
    <xf numFmtId="0" fontId="29" fillId="20" borderId="30" xfId="7" applyFont="1" applyFill="1" applyBorder="1" applyAlignment="1">
      <alignment horizontal="left"/>
    </xf>
    <xf numFmtId="169" fontId="35" fillId="20" borderId="31" xfId="9" applyNumberFormat="1" applyFont="1" applyFill="1" applyBorder="1" applyAlignment="1">
      <alignment horizontal="center"/>
    </xf>
    <xf numFmtId="169" fontId="30" fillId="20" borderId="31" xfId="9" applyNumberFormat="1" applyFont="1" applyFill="1" applyBorder="1" applyAlignment="1">
      <alignment horizontal="center"/>
    </xf>
    <xf numFmtId="169" fontId="30" fillId="20" borderId="32" xfId="9" applyNumberFormat="1" applyFont="1" applyFill="1" applyBorder="1" applyAlignment="1">
      <alignment horizontal="center"/>
    </xf>
    <xf numFmtId="0" fontId="37" fillId="0" borderId="44" xfId="7" applyFont="1" applyBorder="1" applyAlignment="1">
      <alignment horizontal="left" indent="1"/>
    </xf>
    <xf numFmtId="169" fontId="33" fillId="0" borderId="45" xfId="9" applyNumberFormat="1" applyFont="1" applyFill="1" applyBorder="1" applyAlignment="1">
      <alignment horizontal="left" indent="1"/>
    </xf>
    <xf numFmtId="171" fontId="35" fillId="16" borderId="45" xfId="9" applyNumberFormat="1" applyFont="1" applyFill="1" applyBorder="1" applyAlignment="1"/>
    <xf numFmtId="169" fontId="35" fillId="8" borderId="45" xfId="9" applyNumberFormat="1" applyFont="1" applyFill="1" applyBorder="1" applyAlignment="1">
      <alignment horizontal="center"/>
    </xf>
    <xf numFmtId="169" fontId="35" fillId="0" borderId="46" xfId="9" applyNumberFormat="1" applyFont="1" applyFill="1" applyBorder="1" applyAlignment="1">
      <alignment horizontal="center"/>
    </xf>
    <xf numFmtId="0" fontId="37" fillId="0" borderId="18" xfId="7" applyFont="1" applyBorder="1" applyAlignment="1">
      <alignment horizontal="left" indent="1"/>
    </xf>
    <xf numFmtId="169" fontId="33" fillId="0" borderId="16" xfId="9" applyNumberFormat="1" applyFont="1" applyFill="1" applyBorder="1" applyAlignment="1">
      <alignment horizontal="left" indent="1"/>
    </xf>
    <xf numFmtId="171" fontId="35" fillId="16" borderId="16" xfId="9" applyNumberFormat="1" applyFont="1" applyFill="1" applyBorder="1" applyAlignment="1"/>
    <xf numFmtId="169" fontId="35" fillId="8" borderId="16" xfId="9" applyNumberFormat="1" applyFont="1" applyFill="1" applyBorder="1" applyAlignment="1">
      <alignment horizontal="center"/>
    </xf>
    <xf numFmtId="169" fontId="35" fillId="0" borderId="19" xfId="9" applyNumberFormat="1" applyFont="1" applyFill="1" applyBorder="1" applyAlignment="1">
      <alignment horizontal="center"/>
    </xf>
    <xf numFmtId="169" fontId="35" fillId="0" borderId="16" xfId="9" applyNumberFormat="1" applyFont="1" applyFill="1" applyBorder="1" applyAlignment="1">
      <alignment horizontal="left" indent="1"/>
    </xf>
    <xf numFmtId="0" fontId="37" fillId="0" borderId="47" xfId="7" applyFont="1" applyBorder="1" applyAlignment="1">
      <alignment horizontal="left" indent="1"/>
    </xf>
    <xf numFmtId="169" fontId="35" fillId="0" borderId="48" xfId="9" applyNumberFormat="1" applyFont="1" applyFill="1" applyBorder="1" applyAlignment="1">
      <alignment horizontal="left" indent="1"/>
    </xf>
    <xf numFmtId="168" fontId="35" fillId="16" borderId="48" xfId="9" applyNumberFormat="1" applyFont="1" applyFill="1" applyBorder="1" applyAlignment="1">
      <alignment horizontal="left"/>
    </xf>
    <xf numFmtId="169" fontId="35" fillId="8" borderId="48" xfId="9" applyNumberFormat="1" applyFont="1" applyFill="1" applyBorder="1" applyAlignment="1">
      <alignment horizontal="center"/>
    </xf>
    <xf numFmtId="169" fontId="35" fillId="0" borderId="49" xfId="9" applyNumberFormat="1" applyFont="1" applyFill="1" applyBorder="1" applyAlignment="1">
      <alignment horizontal="center"/>
    </xf>
    <xf numFmtId="0" fontId="28" fillId="8" borderId="20" xfId="7" applyFont="1" applyFill="1" applyBorder="1" applyAlignment="1">
      <alignment horizontal="left" vertical="center" indent="1"/>
    </xf>
    <xf numFmtId="0" fontId="24" fillId="8" borderId="50" xfId="7" applyFill="1" applyBorder="1" applyAlignment="1">
      <alignment vertical="center"/>
    </xf>
    <xf numFmtId="168" fontId="28" fillId="8" borderId="51" xfId="7" applyNumberFormat="1" applyFont="1" applyFill="1" applyBorder="1" applyAlignment="1">
      <alignment horizontal="center" vertical="center"/>
    </xf>
    <xf numFmtId="169" fontId="28" fillId="8" borderId="51" xfId="7" applyNumberFormat="1" applyFont="1" applyFill="1" applyBorder="1" applyAlignment="1">
      <alignment horizontal="center" vertical="center"/>
    </xf>
    <xf numFmtId="3" fontId="24" fillId="8" borderId="51" xfId="7" applyNumberFormat="1" applyFill="1" applyBorder="1" applyAlignment="1">
      <alignment horizontal="right" vertical="center"/>
    </xf>
    <xf numFmtId="42" fontId="29" fillId="8" borderId="52" xfId="7" applyNumberFormat="1" applyFont="1" applyFill="1" applyBorder="1" applyAlignment="1">
      <alignment horizontal="center" vertical="center"/>
    </xf>
    <xf numFmtId="0" fontId="35" fillId="0" borderId="0" xfId="7" applyFont="1" applyAlignment="1">
      <alignment horizontal="left" indent="1"/>
    </xf>
    <xf numFmtId="0" fontId="33" fillId="0" borderId="0" xfId="7" applyFont="1" applyAlignment="1">
      <alignment horizontal="right" indent="1"/>
    </xf>
    <xf numFmtId="0" fontId="28" fillId="21" borderId="53" xfId="7" applyFont="1" applyFill="1" applyBorder="1" applyAlignment="1">
      <alignment horizontal="center" vertical="center"/>
    </xf>
    <xf numFmtId="0" fontId="28" fillId="22" borderId="53" xfId="7" applyFont="1" applyFill="1" applyBorder="1" applyAlignment="1">
      <alignment horizontal="center" vertical="center"/>
    </xf>
    <xf numFmtId="0" fontId="28" fillId="0" borderId="0" xfId="7" applyFont="1" applyAlignment="1">
      <alignment vertical="center"/>
    </xf>
    <xf numFmtId="49" fontId="33" fillId="21" borderId="54" xfId="7" applyNumberFormat="1" applyFont="1" applyFill="1" applyBorder="1" applyAlignment="1">
      <alignment horizontal="center" vertical="center"/>
    </xf>
    <xf numFmtId="49" fontId="33" fillId="22" borderId="7" xfId="7" applyNumberFormat="1" applyFont="1" applyFill="1" applyBorder="1" applyAlignment="1">
      <alignment horizontal="center" vertical="center"/>
    </xf>
    <xf numFmtId="49" fontId="33" fillId="22" borderId="9" xfId="7" applyNumberFormat="1" applyFont="1" applyFill="1" applyBorder="1" applyAlignment="1">
      <alignment horizontal="center" vertical="center"/>
    </xf>
    <xf numFmtId="49" fontId="33" fillId="21" borderId="7" xfId="7" applyNumberFormat="1" applyFont="1" applyFill="1" applyBorder="1" applyAlignment="1">
      <alignment horizontal="center" vertical="center"/>
    </xf>
    <xf numFmtId="49" fontId="33" fillId="21" borderId="9" xfId="7" applyNumberFormat="1" applyFont="1" applyFill="1" applyBorder="1" applyAlignment="1">
      <alignment horizontal="center" vertical="center"/>
    </xf>
    <xf numFmtId="49" fontId="33" fillId="22" borderId="54" xfId="7" applyNumberFormat="1" applyFont="1" applyFill="1" applyBorder="1" applyAlignment="1">
      <alignment horizontal="center" vertical="center"/>
    </xf>
    <xf numFmtId="0" fontId="24" fillId="0" borderId="5" xfId="7" applyBorder="1" applyAlignment="1">
      <alignment horizontal="center"/>
    </xf>
    <xf numFmtId="0" fontId="24" fillId="0" borderId="22" xfId="7" applyBorder="1" applyAlignment="1">
      <alignment horizontal="center"/>
    </xf>
    <xf numFmtId="0" fontId="24" fillId="0" borderId="25" xfId="7" applyBorder="1" applyAlignment="1">
      <alignment horizontal="center"/>
    </xf>
    <xf numFmtId="166" fontId="39" fillId="0" borderId="0" xfId="8" applyNumberFormat="1" applyFont="1" applyBorder="1" applyAlignment="1">
      <alignment horizontal="center"/>
    </xf>
    <xf numFmtId="1" fontId="30" fillId="0" borderId="0" xfId="7" applyNumberFormat="1" applyFont="1" applyAlignment="1">
      <alignment horizontal="center"/>
    </xf>
    <xf numFmtId="0" fontId="28" fillId="20" borderId="30" xfId="7" applyFont="1" applyFill="1" applyBorder="1"/>
    <xf numFmtId="0" fontId="28" fillId="20" borderId="31" xfId="7" applyFont="1" applyFill="1" applyBorder="1" applyAlignment="1">
      <alignment vertical="center"/>
    </xf>
    <xf numFmtId="0" fontId="33" fillId="20" borderId="31" xfId="7" applyFont="1" applyFill="1" applyBorder="1" applyAlignment="1">
      <alignment horizontal="center" vertical="center"/>
    </xf>
    <xf numFmtId="0" fontId="33" fillId="20" borderId="32" xfId="7" applyFont="1" applyFill="1" applyBorder="1" applyAlignment="1">
      <alignment horizontal="center" vertical="center"/>
    </xf>
    <xf numFmtId="0" fontId="33" fillId="21" borderId="53" xfId="7" applyFont="1" applyFill="1" applyBorder="1" applyAlignment="1">
      <alignment horizontal="center" vertical="center"/>
    </xf>
    <xf numFmtId="0" fontId="33" fillId="21" borderId="13" xfId="7" applyFont="1" applyFill="1" applyBorder="1" applyAlignment="1">
      <alignment horizontal="center" vertical="center"/>
    </xf>
    <xf numFmtId="0" fontId="33" fillId="21" borderId="14" xfId="7" applyFont="1" applyFill="1" applyBorder="1" applyAlignment="1">
      <alignment horizontal="center" vertical="center"/>
    </xf>
    <xf numFmtId="0" fontId="40" fillId="0" borderId="44" xfId="7" applyFont="1" applyBorder="1" applyAlignment="1">
      <alignment horizontal="left" vertical="center" indent="1"/>
    </xf>
    <xf numFmtId="0" fontId="33" fillId="0" borderId="45" xfId="7" applyFont="1" applyBorder="1" applyAlignment="1">
      <alignment vertical="center"/>
    </xf>
    <xf numFmtId="0" fontId="24" fillId="0" borderId="45" xfId="7" applyBorder="1" applyAlignment="1">
      <alignment horizontal="center" vertical="center"/>
    </xf>
    <xf numFmtId="0" fontId="24" fillId="0" borderId="45" xfId="7" applyBorder="1" applyAlignment="1">
      <alignment horizontal="right" vertical="center"/>
    </xf>
    <xf numFmtId="3" fontId="24" fillId="0" borderId="45" xfId="7" applyNumberFormat="1" applyBorder="1" applyAlignment="1">
      <alignment horizontal="right" vertical="center"/>
    </xf>
    <xf numFmtId="42" fontId="24" fillId="0" borderId="46" xfId="7" applyNumberFormat="1" applyBorder="1" applyAlignment="1">
      <alignment horizontal="center" vertical="center"/>
    </xf>
    <xf numFmtId="0" fontId="24" fillId="21" borderId="55" xfId="7" applyFill="1" applyBorder="1"/>
    <xf numFmtId="0" fontId="24" fillId="22" borderId="18" xfId="7" applyFill="1" applyBorder="1"/>
    <xf numFmtId="0" fontId="24" fillId="22" borderId="19" xfId="7" applyFill="1" applyBorder="1"/>
    <xf numFmtId="0" fontId="24" fillId="21" borderId="18" xfId="7" applyFill="1" applyBorder="1"/>
    <xf numFmtId="165" fontId="24" fillId="21" borderId="19" xfId="7" applyNumberFormat="1" applyFill="1" applyBorder="1"/>
    <xf numFmtId="0" fontId="24" fillId="21" borderId="19" xfId="7" applyFill="1" applyBorder="1"/>
    <xf numFmtId="0" fontId="24" fillId="22" borderId="55" xfId="7" applyFill="1" applyBorder="1"/>
    <xf numFmtId="0" fontId="41" fillId="0" borderId="18" xfId="7" applyFont="1" applyBorder="1" applyAlignment="1">
      <alignment horizontal="left" vertical="center" indent="1"/>
    </xf>
    <xf numFmtId="0" fontId="33" fillId="0" borderId="16" xfId="7" applyFont="1" applyBorder="1" applyAlignment="1">
      <alignment horizontal="left" vertical="center" indent="1"/>
    </xf>
    <xf numFmtId="0" fontId="24" fillId="0" borderId="16" xfId="7" applyBorder="1" applyAlignment="1">
      <alignment horizontal="center" vertical="center"/>
    </xf>
    <xf numFmtId="172" fontId="24" fillId="0" borderId="16" xfId="7" applyNumberFormat="1" applyBorder="1" applyAlignment="1">
      <alignment horizontal="right" vertical="center"/>
    </xf>
    <xf numFmtId="173" fontId="31" fillId="0" borderId="16" xfId="8" applyNumberFormat="1" applyFont="1" applyFill="1" applyBorder="1" applyAlignment="1">
      <alignment horizontal="center" vertical="center"/>
    </xf>
    <xf numFmtId="42" fontId="24" fillId="16" borderId="19" xfId="7" applyNumberFormat="1" applyFill="1" applyBorder="1" applyAlignment="1">
      <alignment horizontal="center" vertical="center"/>
    </xf>
    <xf numFmtId="42" fontId="24" fillId="0" borderId="0" xfId="7" applyNumberFormat="1"/>
    <xf numFmtId="42" fontId="24" fillId="21" borderId="55" xfId="7" applyNumberFormat="1" applyFill="1" applyBorder="1"/>
    <xf numFmtId="42" fontId="24" fillId="22" borderId="18" xfId="7" applyNumberFormat="1" applyFill="1" applyBorder="1"/>
    <xf numFmtId="42" fontId="24" fillId="22" borderId="19" xfId="7" applyNumberFormat="1" applyFill="1" applyBorder="1"/>
    <xf numFmtId="42" fontId="24" fillId="21" borderId="18" xfId="7" applyNumberFormat="1" applyFill="1" applyBorder="1"/>
    <xf numFmtId="0" fontId="24" fillId="0" borderId="16" xfId="7" applyBorder="1" applyAlignment="1">
      <alignment horizontal="right" vertical="center"/>
    </xf>
    <xf numFmtId="3" fontId="28" fillId="0" borderId="16" xfId="7" applyNumberFormat="1" applyFont="1" applyBorder="1" applyAlignment="1">
      <alignment horizontal="center" vertical="center"/>
    </xf>
    <xf numFmtId="42" fontId="24" fillId="0" borderId="19" xfId="7" applyNumberFormat="1" applyBorder="1" applyAlignment="1">
      <alignment horizontal="center" vertical="center"/>
    </xf>
    <xf numFmtId="0" fontId="40" fillId="0" borderId="18" xfId="7" applyFont="1" applyBorder="1" applyAlignment="1">
      <alignment horizontal="left" vertical="center" indent="1"/>
    </xf>
    <xf numFmtId="3" fontId="24" fillId="0" borderId="16" xfId="7" applyNumberFormat="1" applyBorder="1" applyAlignment="1">
      <alignment horizontal="right" vertical="center"/>
    </xf>
    <xf numFmtId="0" fontId="33" fillId="0" borderId="16" xfId="7" applyFont="1" applyBorder="1" applyAlignment="1">
      <alignment horizontal="left" indent="1"/>
    </xf>
    <xf numFmtId="10" fontId="24" fillId="16" borderId="16" xfId="9" applyNumberFormat="1" applyFont="1" applyFill="1" applyBorder="1" applyAlignment="1">
      <alignment vertical="center"/>
    </xf>
    <xf numFmtId="166" fontId="24" fillId="0" borderId="16" xfId="8" applyNumberFormat="1" applyFont="1" applyFill="1" applyBorder="1" applyAlignment="1">
      <alignment horizontal="right" vertical="center"/>
    </xf>
    <xf numFmtId="42" fontId="24" fillId="8" borderId="19" xfId="7" applyNumberFormat="1" applyFill="1" applyBorder="1" applyAlignment="1">
      <alignment horizontal="center" vertical="center"/>
    </xf>
    <xf numFmtId="10" fontId="24" fillId="0" borderId="16" xfId="7" applyNumberFormat="1" applyBorder="1" applyAlignment="1">
      <alignment vertical="center"/>
    </xf>
    <xf numFmtId="0" fontId="41" fillId="0" borderId="47" xfId="7" applyFont="1" applyBorder="1" applyAlignment="1">
      <alignment horizontal="left" vertical="center" indent="1"/>
    </xf>
    <xf numFmtId="0" fontId="33" fillId="0" borderId="48" xfId="7" applyFont="1" applyBorder="1" applyAlignment="1">
      <alignment horizontal="left" indent="1"/>
    </xf>
    <xf numFmtId="0" fontId="24" fillId="0" borderId="48" xfId="7" applyBorder="1" applyAlignment="1">
      <alignment horizontal="center" vertical="center"/>
    </xf>
    <xf numFmtId="10" fontId="24" fillId="0" borderId="48" xfId="7" applyNumberFormat="1" applyBorder="1" applyAlignment="1">
      <alignment vertical="center"/>
    </xf>
    <xf numFmtId="166" fontId="0" fillId="0" borderId="48" xfId="8" applyNumberFormat="1" applyFont="1" applyFill="1" applyBorder="1" applyAlignment="1">
      <alignment horizontal="right" vertical="center"/>
    </xf>
    <xf numFmtId="42" fontId="24" fillId="16" borderId="56" xfId="7" applyNumberFormat="1" applyFill="1" applyBorder="1" applyAlignment="1">
      <alignment horizontal="center" vertical="center"/>
    </xf>
    <xf numFmtId="0" fontId="28" fillId="20" borderId="57" xfId="7" applyFont="1" applyFill="1" applyBorder="1" applyAlignment="1">
      <alignment horizontal="left" vertical="center" indent="1"/>
    </xf>
    <xf numFmtId="0" fontId="24" fillId="20" borderId="58" xfId="7" applyFill="1" applyBorder="1" applyAlignment="1">
      <alignment vertical="center"/>
    </xf>
    <xf numFmtId="0" fontId="24" fillId="20" borderId="58" xfId="7" applyFill="1" applyBorder="1" applyAlignment="1">
      <alignment horizontal="center" vertical="center"/>
    </xf>
    <xf numFmtId="9" fontId="24" fillId="20" borderId="58" xfId="7" applyNumberFormat="1" applyFill="1" applyBorder="1" applyAlignment="1">
      <alignment horizontal="right" vertical="center"/>
    </xf>
    <xf numFmtId="3" fontId="24" fillId="20" borderId="58" xfId="7" applyNumberFormat="1" applyFill="1" applyBorder="1" applyAlignment="1">
      <alignment horizontal="right" vertical="center"/>
    </xf>
    <xf numFmtId="42" fontId="42" fillId="20" borderId="59" xfId="7" applyNumberFormat="1" applyFont="1" applyFill="1" applyBorder="1" applyAlignment="1">
      <alignment horizontal="center" vertical="center"/>
    </xf>
    <xf numFmtId="174" fontId="24" fillId="22" borderId="18" xfId="7" applyNumberFormat="1" applyFill="1" applyBorder="1"/>
    <xf numFmtId="174" fontId="24" fillId="22" borderId="19" xfId="7" applyNumberFormat="1" applyFill="1" applyBorder="1"/>
    <xf numFmtId="174" fontId="24" fillId="21" borderId="18" xfId="7" applyNumberFormat="1" applyFill="1" applyBorder="1"/>
    <xf numFmtId="174" fontId="24" fillId="21" borderId="19" xfId="7" applyNumberFormat="1" applyFill="1" applyBorder="1"/>
    <xf numFmtId="0" fontId="24" fillId="0" borderId="36" xfId="7" applyBorder="1" applyAlignment="1">
      <alignment vertical="center"/>
    </xf>
    <xf numFmtId="0" fontId="24" fillId="0" borderId="0" xfId="7" applyAlignment="1">
      <alignment horizontal="center" vertical="center"/>
    </xf>
    <xf numFmtId="9" fontId="32" fillId="0" borderId="0" xfId="7" applyNumberFormat="1" applyFont="1" applyAlignment="1">
      <alignment horizontal="center" vertical="center"/>
    </xf>
    <xf numFmtId="3" fontId="32" fillId="0" borderId="0" xfId="7" applyNumberFormat="1" applyFont="1" applyAlignment="1">
      <alignment horizontal="left" vertical="center" indent="1"/>
    </xf>
    <xf numFmtId="42" fontId="43" fillId="8" borderId="37" xfId="7" applyNumberFormat="1" applyFont="1" applyFill="1" applyBorder="1" applyAlignment="1">
      <alignment horizontal="center" vertical="center"/>
    </xf>
    <xf numFmtId="9" fontId="24" fillId="0" borderId="0" xfId="7" applyNumberFormat="1" applyAlignment="1">
      <alignment horizontal="right" vertical="center"/>
    </xf>
    <xf numFmtId="0" fontId="24" fillId="0" borderId="38" xfId="7" applyBorder="1" applyAlignment="1">
      <alignment vertical="center"/>
    </xf>
    <xf numFmtId="0" fontId="24" fillId="0" borderId="1" xfId="7" applyBorder="1" applyAlignment="1">
      <alignment vertical="center"/>
    </xf>
    <xf numFmtId="0" fontId="24" fillId="0" borderId="1" xfId="7" applyBorder="1" applyAlignment="1">
      <alignment horizontal="center" vertical="center"/>
    </xf>
    <xf numFmtId="9" fontId="24" fillId="0" borderId="1" xfId="7" applyNumberFormat="1" applyBorder="1" applyAlignment="1">
      <alignment horizontal="right" vertical="center"/>
    </xf>
    <xf numFmtId="3" fontId="32" fillId="0" borderId="1" xfId="7" applyNumberFormat="1" applyFont="1" applyBorder="1" applyAlignment="1">
      <alignment horizontal="left" vertical="center" indent="1"/>
    </xf>
    <xf numFmtId="175" fontId="28" fillId="8" borderId="39" xfId="10" applyNumberFormat="1" applyFont="1" applyFill="1" applyBorder="1" applyAlignment="1">
      <alignment horizontal="right" vertical="center"/>
    </xf>
    <xf numFmtId="0" fontId="24" fillId="21" borderId="60" xfId="7" applyFill="1" applyBorder="1"/>
    <xf numFmtId="0" fontId="24" fillId="22" borderId="47" xfId="7" applyFill="1" applyBorder="1"/>
    <xf numFmtId="0" fontId="24" fillId="22" borderId="49" xfId="7" applyFill="1" applyBorder="1"/>
    <xf numFmtId="0" fontId="24" fillId="21" borderId="47" xfId="7" applyFill="1" applyBorder="1"/>
    <xf numFmtId="165" fontId="24" fillId="21" borderId="49" xfId="7" applyNumberFormat="1" applyFill="1" applyBorder="1"/>
    <xf numFmtId="0" fontId="24" fillId="21" borderId="49" xfId="7" applyFill="1" applyBorder="1"/>
    <xf numFmtId="0" fontId="24" fillId="22" borderId="60" xfId="7" applyFill="1" applyBorder="1"/>
    <xf numFmtId="175" fontId="28" fillId="0" borderId="0" xfId="10" applyNumberFormat="1" applyFont="1" applyFill="1" applyBorder="1" applyAlignment="1">
      <alignment horizontal="right" vertical="center"/>
    </xf>
    <xf numFmtId="0" fontId="24" fillId="21" borderId="61" xfId="7" applyFill="1" applyBorder="1"/>
    <xf numFmtId="0" fontId="24" fillId="22" borderId="15" xfId="7" applyFill="1" applyBorder="1"/>
    <xf numFmtId="0" fontId="24" fillId="22" borderId="62" xfId="7" applyFill="1" applyBorder="1"/>
    <xf numFmtId="0" fontId="24" fillId="21" borderId="15" xfId="7" applyFill="1" applyBorder="1"/>
    <xf numFmtId="165" fontId="24" fillId="21" borderId="62" xfId="7" applyNumberFormat="1" applyFill="1" applyBorder="1"/>
    <xf numFmtId="0" fontId="24" fillId="21" borderId="62" xfId="7" applyFill="1" applyBorder="1"/>
    <xf numFmtId="0" fontId="24" fillId="22" borderId="61" xfId="7" applyFill="1" applyBorder="1"/>
    <xf numFmtId="0" fontId="44" fillId="20" borderId="30" xfId="7" applyFont="1" applyFill="1" applyBorder="1" applyAlignment="1">
      <alignment vertical="center"/>
    </xf>
    <xf numFmtId="0" fontId="24" fillId="20" borderId="31" xfId="7" applyFill="1" applyBorder="1" applyAlignment="1">
      <alignment vertical="center"/>
    </xf>
    <xf numFmtId="0" fontId="24" fillId="20" borderId="31" xfId="7" applyFill="1" applyBorder="1" applyAlignment="1">
      <alignment horizontal="center" vertical="center"/>
    </xf>
    <xf numFmtId="9" fontId="24" fillId="20" borderId="31" xfId="7" applyNumberFormat="1" applyFill="1" applyBorder="1" applyAlignment="1">
      <alignment horizontal="right" vertical="center"/>
    </xf>
    <xf numFmtId="3" fontId="32" fillId="20" borderId="31" xfId="7" applyNumberFormat="1" applyFont="1" applyFill="1" applyBorder="1" applyAlignment="1">
      <alignment horizontal="left" vertical="center" indent="1"/>
    </xf>
    <xf numFmtId="175" fontId="28" fillId="20" borderId="32" xfId="10" applyNumberFormat="1" applyFont="1" applyFill="1" applyBorder="1" applyAlignment="1">
      <alignment horizontal="right" vertical="center"/>
    </xf>
    <xf numFmtId="0" fontId="24" fillId="21" borderId="63" xfId="7" applyFill="1" applyBorder="1"/>
    <xf numFmtId="0" fontId="24" fillId="22" borderId="44" xfId="7" applyFill="1" applyBorder="1"/>
    <xf numFmtId="0" fontId="24" fillId="22" borderId="46" xfId="7" applyFill="1" applyBorder="1"/>
    <xf numFmtId="0" fontId="24" fillId="21" borderId="44" xfId="7" applyFill="1" applyBorder="1"/>
    <xf numFmtId="165" fontId="24" fillId="21" borderId="46" xfId="7" applyNumberFormat="1" applyFill="1" applyBorder="1"/>
    <xf numFmtId="0" fontId="24" fillId="21" borderId="46" xfId="7" applyFill="1" applyBorder="1"/>
    <xf numFmtId="0" fontId="24" fillId="22" borderId="63" xfId="7" applyFill="1" applyBorder="1"/>
    <xf numFmtId="0" fontId="24" fillId="0" borderId="44" xfId="7" applyBorder="1" applyAlignment="1">
      <alignment horizontal="left" vertical="center" indent="1"/>
    </xf>
    <xf numFmtId="0" fontId="33" fillId="0" borderId="45" xfId="7" applyFont="1" applyBorder="1" applyAlignment="1">
      <alignment horizontal="left" vertical="center" indent="1"/>
    </xf>
    <xf numFmtId="168" fontId="24" fillId="0" borderId="45" xfId="7" applyNumberFormat="1" applyBorder="1" applyAlignment="1">
      <alignment horizontal="left" vertical="center" indent="1"/>
    </xf>
    <xf numFmtId="166" fontId="24" fillId="0" borderId="45" xfId="8" applyNumberFormat="1" applyFont="1" applyFill="1" applyBorder="1" applyAlignment="1">
      <alignment horizontal="left" vertical="center" indent="1"/>
    </xf>
    <xf numFmtId="176" fontId="32" fillId="0" borderId="45" xfId="7" applyNumberFormat="1" applyFont="1" applyBorder="1" applyAlignment="1">
      <alignment horizontal="left" vertical="center" indent="2"/>
    </xf>
    <xf numFmtId="177" fontId="31" fillId="16" borderId="46" xfId="10" applyNumberFormat="1" applyFont="1" applyFill="1" applyBorder="1" applyAlignment="1">
      <alignment horizontal="right" vertical="center" indent="1"/>
    </xf>
    <xf numFmtId="177" fontId="24" fillId="21" borderId="55" xfId="7" applyNumberFormat="1" applyFill="1" applyBorder="1"/>
    <xf numFmtId="177" fontId="24" fillId="22" borderId="18" xfId="7" applyNumberFormat="1" applyFill="1" applyBorder="1"/>
    <xf numFmtId="177" fontId="24" fillId="22" borderId="19" xfId="7" applyNumberFormat="1" applyFill="1" applyBorder="1"/>
    <xf numFmtId="177" fontId="24" fillId="21" borderId="18" xfId="7" applyNumberFormat="1" applyFill="1" applyBorder="1"/>
    <xf numFmtId="177" fontId="24" fillId="22" borderId="55" xfId="7" applyNumberFormat="1" applyFill="1" applyBorder="1"/>
    <xf numFmtId="0" fontId="24" fillId="0" borderId="18" xfId="7" applyBorder="1" applyAlignment="1">
      <alignment horizontal="left" vertical="center" indent="1"/>
    </xf>
    <xf numFmtId="0" fontId="24" fillId="0" borderId="16" xfId="7" applyBorder="1" applyAlignment="1">
      <alignment horizontal="left" vertical="center" indent="1"/>
    </xf>
    <xf numFmtId="9" fontId="24" fillId="0" borderId="16" xfId="7" applyNumberFormat="1" applyBorder="1" applyAlignment="1">
      <alignment horizontal="left" vertical="center" indent="1"/>
    </xf>
    <xf numFmtId="3" fontId="32" fillId="0" borderId="16" xfId="7" applyNumberFormat="1" applyFont="1" applyBorder="1" applyAlignment="1">
      <alignment horizontal="left" vertical="center" indent="2"/>
    </xf>
    <xf numFmtId="175" fontId="31" fillId="16" borderId="19" xfId="10" applyNumberFormat="1" applyFont="1" applyFill="1" applyBorder="1" applyAlignment="1">
      <alignment horizontal="right" vertical="center" indent="1"/>
    </xf>
    <xf numFmtId="175" fontId="31" fillId="0" borderId="19" xfId="10" applyNumberFormat="1" applyFont="1" applyFill="1" applyBorder="1" applyAlignment="1">
      <alignment horizontal="right" vertical="center" indent="1"/>
    </xf>
    <xf numFmtId="0" fontId="24" fillId="0" borderId="47" xfId="7" applyBorder="1" applyAlignment="1">
      <alignment horizontal="left" vertical="center" indent="1"/>
    </xf>
    <xf numFmtId="0" fontId="24" fillId="0" borderId="48" xfId="7" applyBorder="1" applyAlignment="1">
      <alignment horizontal="left" vertical="center" indent="1"/>
    </xf>
    <xf numFmtId="9" fontId="24" fillId="0" borderId="48" xfId="7" applyNumberFormat="1" applyBorder="1" applyAlignment="1">
      <alignment horizontal="left" vertical="center" indent="1"/>
    </xf>
    <xf numFmtId="3" fontId="32" fillId="0" borderId="48" xfId="7" applyNumberFormat="1" applyFont="1" applyBorder="1" applyAlignment="1">
      <alignment horizontal="left" vertical="center" indent="2"/>
    </xf>
    <xf numFmtId="175" fontId="31" fillId="0" borderId="49" xfId="10" applyNumberFormat="1" applyFont="1" applyFill="1" applyBorder="1" applyAlignment="1">
      <alignment horizontal="right" vertical="center" indent="1"/>
    </xf>
    <xf numFmtId="0" fontId="44" fillId="20" borderId="57" xfId="7" applyFont="1" applyFill="1" applyBorder="1" applyAlignment="1">
      <alignment vertical="center"/>
    </xf>
    <xf numFmtId="3" fontId="32" fillId="20" borderId="58" xfId="7" applyNumberFormat="1" applyFont="1" applyFill="1" applyBorder="1" applyAlignment="1">
      <alignment horizontal="left" vertical="center" indent="1"/>
    </xf>
    <xf numFmtId="177" fontId="42" fillId="20" borderId="64" xfId="10" applyNumberFormat="1" applyFont="1" applyFill="1" applyBorder="1" applyAlignment="1">
      <alignment horizontal="right" vertical="center"/>
    </xf>
    <xf numFmtId="177" fontId="24" fillId="21" borderId="19" xfId="7" applyNumberFormat="1" applyFill="1" applyBorder="1"/>
    <xf numFmtId="42" fontId="28" fillId="0" borderId="0" xfId="7" applyNumberFormat="1" applyFont="1" applyAlignment="1">
      <alignment horizontal="center" vertical="center"/>
    </xf>
    <xf numFmtId="10" fontId="39" fillId="20" borderId="31" xfId="9" applyNumberFormat="1" applyFont="1" applyFill="1" applyBorder="1" applyAlignment="1">
      <alignment horizontal="center" vertical="center"/>
    </xf>
    <xf numFmtId="0" fontId="30" fillId="20" borderId="31" xfId="7" applyFont="1" applyFill="1" applyBorder="1" applyAlignment="1">
      <alignment horizontal="center" vertical="center"/>
    </xf>
    <xf numFmtId="0" fontId="28" fillId="20" borderId="32" xfId="7" applyFont="1" applyFill="1" applyBorder="1" applyAlignment="1">
      <alignment vertical="center"/>
    </xf>
    <xf numFmtId="0" fontId="40" fillId="0" borderId="44" xfId="7" applyFont="1" applyBorder="1" applyAlignment="1">
      <alignment horizontal="left" indent="1"/>
    </xf>
    <xf numFmtId="0" fontId="24" fillId="0" borderId="45" xfId="7" applyBorder="1"/>
    <xf numFmtId="10" fontId="0" fillId="0" borderId="45" xfId="9" applyNumberFormat="1" applyFont="1" applyBorder="1" applyAlignment="1">
      <alignment vertical="center"/>
    </xf>
    <xf numFmtId="176" fontId="24" fillId="21" borderId="55" xfId="7" applyNumberFormat="1" applyFill="1" applyBorder="1"/>
    <xf numFmtId="176" fontId="24" fillId="22" borderId="18" xfId="7" applyNumberFormat="1" applyFill="1" applyBorder="1"/>
    <xf numFmtId="176" fontId="24" fillId="22" borderId="19" xfId="7" applyNumberFormat="1" applyFill="1" applyBorder="1"/>
    <xf numFmtId="176" fontId="24" fillId="21" borderId="18" xfId="7" applyNumberFormat="1" applyFill="1" applyBorder="1"/>
    <xf numFmtId="176" fontId="24" fillId="21" borderId="19" xfId="7" applyNumberFormat="1" applyFill="1" applyBorder="1"/>
    <xf numFmtId="167" fontId="0" fillId="0" borderId="16" xfId="9" applyFont="1" applyBorder="1" applyAlignment="1">
      <alignment horizontal="center" vertical="center"/>
    </xf>
    <xf numFmtId="166" fontId="0" fillId="0" borderId="16" xfId="8" applyNumberFormat="1" applyFont="1" applyFill="1" applyBorder="1" applyAlignment="1">
      <alignment vertical="center"/>
    </xf>
    <xf numFmtId="42" fontId="24" fillId="16" borderId="19" xfId="7" applyNumberFormat="1" applyFill="1" applyBorder="1" applyAlignment="1">
      <alignment vertical="center"/>
    </xf>
    <xf numFmtId="177" fontId="24" fillId="0" borderId="16" xfId="7" applyNumberFormat="1" applyBorder="1" applyAlignment="1">
      <alignment horizontal="right" vertical="center"/>
    </xf>
    <xf numFmtId="42" fontId="24" fillId="21" borderId="19" xfId="7" applyNumberFormat="1" applyFill="1" applyBorder="1"/>
    <xf numFmtId="42" fontId="24" fillId="22" borderId="55" xfId="7" applyNumberFormat="1" applyFill="1" applyBorder="1"/>
    <xf numFmtId="177" fontId="24" fillId="0" borderId="65" xfId="7" applyNumberFormat="1" applyBorder="1" applyAlignment="1">
      <alignment horizontal="right" vertical="center"/>
    </xf>
    <xf numFmtId="166" fontId="0" fillId="0" borderId="65" xfId="8" applyNumberFormat="1" applyFont="1" applyFill="1" applyBorder="1" applyAlignment="1">
      <alignment vertical="center"/>
    </xf>
    <xf numFmtId="0" fontId="24" fillId="0" borderId="65" xfId="7" applyBorder="1" applyAlignment="1">
      <alignment horizontal="center" vertical="center"/>
    </xf>
    <xf numFmtId="42" fontId="24" fillId="16" borderId="56" xfId="7" applyNumberFormat="1" applyFill="1" applyBorder="1" applyAlignment="1">
      <alignment vertical="center"/>
    </xf>
    <xf numFmtId="0" fontId="41" fillId="0" borderId="66" xfId="7" applyFont="1" applyBorder="1" applyAlignment="1">
      <alignment horizontal="left" vertical="center" indent="1"/>
    </xf>
    <xf numFmtId="168" fontId="31" fillId="0" borderId="65" xfId="9" applyNumberFormat="1" applyFont="1" applyFill="1" applyBorder="1" applyAlignment="1">
      <alignment horizontal="right" vertical="center"/>
    </xf>
    <xf numFmtId="176" fontId="31" fillId="0" borderId="65" xfId="7" applyNumberFormat="1" applyFont="1" applyBorder="1" applyAlignment="1">
      <alignment vertical="center"/>
    </xf>
    <xf numFmtId="166" fontId="45" fillId="0" borderId="65" xfId="7" applyNumberFormat="1" applyFont="1" applyBorder="1" applyAlignment="1">
      <alignment vertical="center"/>
    </xf>
    <xf numFmtId="42" fontId="31" fillId="16" borderId="56" xfId="7" applyNumberFormat="1" applyFont="1" applyFill="1" applyBorder="1" applyAlignment="1">
      <alignment vertical="center"/>
    </xf>
    <xf numFmtId="0" fontId="31" fillId="0" borderId="65" xfId="7" applyFont="1" applyBorder="1" applyAlignment="1">
      <alignment vertical="center"/>
    </xf>
    <xf numFmtId="177" fontId="45" fillId="0" borderId="65" xfId="7" applyNumberFormat="1" applyFont="1" applyBorder="1" applyAlignment="1">
      <alignment horizontal="right" vertical="center"/>
    </xf>
    <xf numFmtId="10" fontId="45" fillId="0" borderId="65" xfId="7" applyNumberFormat="1" applyFont="1" applyBorder="1" applyAlignment="1">
      <alignment vertical="center"/>
    </xf>
    <xf numFmtId="42" fontId="24" fillId="0" borderId="56" xfId="7" applyNumberFormat="1" applyBorder="1" applyAlignment="1">
      <alignment vertical="center"/>
    </xf>
    <xf numFmtId="0" fontId="28" fillId="0" borderId="44" xfId="7" applyFont="1" applyBorder="1" applyAlignment="1">
      <alignment horizontal="left" indent="1"/>
    </xf>
    <xf numFmtId="10" fontId="0" fillId="0" borderId="16" xfId="9" applyNumberFormat="1" applyFont="1" applyBorder="1" applyAlignment="1">
      <alignment vertical="center"/>
    </xf>
    <xf numFmtId="0" fontId="24" fillId="0" borderId="18" xfId="7" applyBorder="1" applyAlignment="1">
      <alignment horizontal="left" vertical="center" indent="2"/>
    </xf>
    <xf numFmtId="0" fontId="33" fillId="0" borderId="16" xfId="7" applyFont="1" applyBorder="1" applyAlignment="1">
      <alignment horizontal="center" vertical="center"/>
    </xf>
    <xf numFmtId="170" fontId="24" fillId="0" borderId="16" xfId="7" applyNumberFormat="1" applyBorder="1" applyAlignment="1" applyProtection="1">
      <alignment horizontal="right" vertical="center"/>
      <protection locked="0"/>
    </xf>
    <xf numFmtId="0" fontId="28" fillId="20" borderId="47" xfId="7" applyFont="1" applyFill="1" applyBorder="1" applyAlignment="1">
      <alignment horizontal="left" vertical="center" indent="1"/>
    </xf>
    <xf numFmtId="0" fontId="24" fillId="20" borderId="48" xfId="7" applyFill="1" applyBorder="1"/>
    <xf numFmtId="177" fontId="24" fillId="20" borderId="48" xfId="7" applyNumberFormat="1" applyFill="1" applyBorder="1" applyAlignment="1">
      <alignment horizontal="right" vertical="center"/>
    </xf>
    <xf numFmtId="10" fontId="28" fillId="20" borderId="48" xfId="9" applyNumberFormat="1" applyFont="1" applyFill="1" applyBorder="1" applyAlignment="1">
      <alignment vertical="center"/>
    </xf>
    <xf numFmtId="3" fontId="24" fillId="20" borderId="48" xfId="7" applyNumberFormat="1" applyFill="1" applyBorder="1" applyAlignment="1">
      <alignment horizontal="right" vertical="center"/>
    </xf>
    <xf numFmtId="42" fontId="29" fillId="20" borderId="49" xfId="7" applyNumberFormat="1" applyFont="1" applyFill="1" applyBorder="1" applyAlignment="1">
      <alignment horizontal="center" vertical="center"/>
    </xf>
    <xf numFmtId="0" fontId="28" fillId="20" borderId="57" xfId="7" applyFont="1" applyFill="1" applyBorder="1"/>
    <xf numFmtId="0" fontId="28" fillId="20" borderId="58" xfId="7" applyFont="1" applyFill="1" applyBorder="1" applyAlignment="1">
      <alignment vertical="center"/>
    </xf>
    <xf numFmtId="10" fontId="39" fillId="20" borderId="58" xfId="9" applyNumberFormat="1" applyFont="1" applyFill="1" applyBorder="1" applyAlignment="1">
      <alignment horizontal="center" vertical="center"/>
    </xf>
    <xf numFmtId="0" fontId="30" fillId="20" borderId="58" xfId="7" applyFont="1" applyFill="1" applyBorder="1" applyAlignment="1">
      <alignment horizontal="center" vertical="center"/>
    </xf>
    <xf numFmtId="0" fontId="28" fillId="20" borderId="64" xfId="7" applyFont="1" applyFill="1" applyBorder="1" applyAlignment="1">
      <alignment vertical="center"/>
    </xf>
    <xf numFmtId="0" fontId="41" fillId="0" borderId="44" xfId="7" applyFont="1" applyBorder="1" applyAlignment="1">
      <alignment horizontal="left" vertical="center" indent="1"/>
    </xf>
    <xf numFmtId="0" fontId="24" fillId="0" borderId="45" xfId="7" applyBorder="1" applyAlignment="1">
      <alignment vertical="center"/>
    </xf>
    <xf numFmtId="0" fontId="24" fillId="0" borderId="46" xfId="7" applyBorder="1" applyAlignment="1">
      <alignment vertical="center"/>
    </xf>
    <xf numFmtId="176" fontId="24" fillId="21" borderId="19" xfId="7" applyNumberFormat="1" applyFill="1" applyBorder="1" applyAlignment="1">
      <alignment horizontal="center"/>
    </xf>
    <xf numFmtId="176" fontId="24" fillId="22" borderId="18" xfId="7" applyNumberFormat="1" applyFill="1" applyBorder="1" applyAlignment="1">
      <alignment horizontal="left" indent="1"/>
    </xf>
    <xf numFmtId="0" fontId="24" fillId="22" borderId="19" xfId="7" applyFill="1" applyBorder="1" applyAlignment="1">
      <alignment horizontal="left" indent="1"/>
    </xf>
    <xf numFmtId="0" fontId="24" fillId="21" borderId="18" xfId="7" applyFill="1" applyBorder="1" applyAlignment="1">
      <alignment horizontal="left" indent="1"/>
    </xf>
    <xf numFmtId="0" fontId="24" fillId="21" borderId="19" xfId="7" applyFill="1" applyBorder="1" applyAlignment="1">
      <alignment horizontal="left" indent="1"/>
    </xf>
    <xf numFmtId="0" fontId="24" fillId="22" borderId="55" xfId="7" applyFill="1" applyBorder="1" applyAlignment="1">
      <alignment horizontal="left" indent="1"/>
    </xf>
    <xf numFmtId="168" fontId="0" fillId="0" borderId="16" xfId="9" applyNumberFormat="1" applyFont="1" applyFill="1" applyBorder="1" applyAlignment="1">
      <alignment horizontal="right" vertical="center"/>
    </xf>
    <xf numFmtId="176" fontId="24" fillId="0" borderId="16" xfId="7" applyNumberFormat="1" applyBorder="1" applyAlignment="1">
      <alignment vertical="center"/>
    </xf>
    <xf numFmtId="166" fontId="24" fillId="0" borderId="16" xfId="7" applyNumberFormat="1" applyBorder="1" applyAlignment="1">
      <alignment vertical="center"/>
    </xf>
    <xf numFmtId="1" fontId="0" fillId="0" borderId="16" xfId="9" applyNumberFormat="1" applyFont="1" applyFill="1" applyBorder="1" applyAlignment="1">
      <alignment horizontal="center" vertical="center"/>
    </xf>
    <xf numFmtId="0" fontId="37" fillId="0" borderId="18" xfId="7" applyFont="1" applyBorder="1" applyAlignment="1">
      <alignment horizontal="left" vertical="center"/>
    </xf>
    <xf numFmtId="0" fontId="37" fillId="0" borderId="18" xfId="7" applyFont="1" applyBorder="1" applyAlignment="1">
      <alignment horizontal="left" vertical="center" indent="1"/>
    </xf>
    <xf numFmtId="0" fontId="24" fillId="0" borderId="65" xfId="7" applyBorder="1" applyAlignment="1">
      <alignment vertical="center"/>
    </xf>
    <xf numFmtId="10" fontId="24" fillId="0" borderId="65" xfId="7" applyNumberFormat="1" applyBorder="1" applyAlignment="1">
      <alignment vertical="center"/>
    </xf>
    <xf numFmtId="166" fontId="24" fillId="0" borderId="65" xfId="7" applyNumberFormat="1" applyBorder="1" applyAlignment="1">
      <alignment vertical="center"/>
    </xf>
    <xf numFmtId="0" fontId="45" fillId="0" borderId="65" xfId="7" applyFont="1" applyBorder="1" applyAlignment="1">
      <alignment vertical="center"/>
    </xf>
    <xf numFmtId="176" fontId="45" fillId="21" borderId="55" xfId="7" applyNumberFormat="1" applyFont="1" applyFill="1" applyBorder="1"/>
    <xf numFmtId="176" fontId="45" fillId="22" borderId="18" xfId="7" applyNumberFormat="1" applyFont="1" applyFill="1" applyBorder="1"/>
    <xf numFmtId="176" fontId="45" fillId="22" borderId="19" xfId="7" applyNumberFormat="1" applyFont="1" applyFill="1" applyBorder="1"/>
    <xf numFmtId="176" fontId="45" fillId="21" borderId="18" xfId="7" applyNumberFormat="1" applyFont="1" applyFill="1" applyBorder="1"/>
    <xf numFmtId="176" fontId="31" fillId="21" borderId="19" xfId="7" applyNumberFormat="1" applyFont="1" applyFill="1" applyBorder="1"/>
    <xf numFmtId="176" fontId="41" fillId="22" borderId="18" xfId="7" applyNumberFormat="1" applyFont="1" applyFill="1" applyBorder="1"/>
    <xf numFmtId="0" fontId="45" fillId="22" borderId="19" xfId="7" applyFont="1" applyFill="1" applyBorder="1"/>
    <xf numFmtId="0" fontId="45" fillId="21" borderId="18" xfId="7" applyFont="1" applyFill="1" applyBorder="1"/>
    <xf numFmtId="42" fontId="31" fillId="21" borderId="19" xfId="7" applyNumberFormat="1" applyFont="1" applyFill="1" applyBorder="1"/>
    <xf numFmtId="0" fontId="45" fillId="22" borderId="55" xfId="7" applyFont="1" applyFill="1" applyBorder="1"/>
    <xf numFmtId="0" fontId="45" fillId="0" borderId="0" xfId="7" applyFont="1"/>
    <xf numFmtId="0" fontId="28" fillId="0" borderId="67" xfId="7" applyFont="1" applyBorder="1" applyAlignment="1">
      <alignment horizontal="left" vertical="center" indent="1"/>
    </xf>
    <xf numFmtId="0" fontId="24" fillId="0" borderId="48" xfId="7" applyBorder="1"/>
    <xf numFmtId="177" fontId="24" fillId="0" borderId="48" xfId="7" applyNumberFormat="1" applyBorder="1" applyAlignment="1">
      <alignment horizontal="right" vertical="center"/>
    </xf>
    <xf numFmtId="10" fontId="28" fillId="0" borderId="48" xfId="9" applyNumberFormat="1" applyFont="1" applyFill="1" applyBorder="1" applyAlignment="1">
      <alignment vertical="center"/>
    </xf>
    <xf numFmtId="3" fontId="24" fillId="0" borderId="48" xfId="7" applyNumberFormat="1" applyBorder="1" applyAlignment="1">
      <alignment horizontal="right" vertical="center"/>
    </xf>
    <xf numFmtId="42" fontId="28" fillId="0" borderId="49" xfId="7" applyNumberFormat="1" applyFont="1" applyBorder="1" applyAlignment="1">
      <alignment horizontal="center" vertical="center"/>
    </xf>
    <xf numFmtId="0" fontId="28" fillId="0" borderId="27" xfId="7" applyFont="1" applyBorder="1" applyAlignment="1">
      <alignment horizontal="left" indent="1"/>
    </xf>
    <xf numFmtId="0" fontId="24" fillId="0" borderId="68" xfId="7" applyBorder="1" applyAlignment="1">
      <alignment vertical="center"/>
    </xf>
    <xf numFmtId="167" fontId="0" fillId="0" borderId="68" xfId="9" applyFont="1" applyBorder="1" applyAlignment="1">
      <alignment horizontal="center" vertical="center"/>
    </xf>
    <xf numFmtId="166" fontId="0" fillId="0" borderId="68" xfId="8" applyNumberFormat="1" applyFont="1" applyBorder="1" applyAlignment="1">
      <alignment vertical="center"/>
    </xf>
    <xf numFmtId="42" fontId="24" fillId="0" borderId="69" xfId="7" applyNumberFormat="1" applyBorder="1" applyAlignment="1">
      <alignment vertical="center"/>
    </xf>
    <xf numFmtId="166" fontId="0" fillId="0" borderId="16" xfId="8" applyNumberFormat="1" applyFont="1" applyBorder="1" applyAlignment="1">
      <alignment vertical="center"/>
    </xf>
    <xf numFmtId="42" fontId="24" fillId="0" borderId="19" xfId="7" applyNumberFormat="1" applyBorder="1" applyAlignment="1">
      <alignment vertical="center"/>
    </xf>
    <xf numFmtId="0" fontId="31" fillId="0" borderId="18" xfId="7" applyFont="1" applyBorder="1" applyAlignment="1">
      <alignment horizontal="left" vertical="center" indent="2"/>
    </xf>
    <xf numFmtId="9" fontId="24" fillId="0" borderId="16" xfId="7" applyNumberFormat="1" applyBorder="1" applyAlignment="1">
      <alignment horizontal="center" vertical="center"/>
    </xf>
    <xf numFmtId="0" fontId="31" fillId="0" borderId="66" xfId="7" applyFont="1" applyBorder="1" applyAlignment="1">
      <alignment horizontal="left" vertical="center" indent="2"/>
    </xf>
    <xf numFmtId="9" fontId="24" fillId="0" borderId="65" xfId="7" applyNumberFormat="1" applyBorder="1" applyAlignment="1">
      <alignment horizontal="center" vertical="center"/>
    </xf>
    <xf numFmtId="0" fontId="24" fillId="0" borderId="70" xfId="7" applyBorder="1"/>
    <xf numFmtId="177" fontId="24" fillId="0" borderId="70" xfId="7" applyNumberFormat="1" applyBorder="1" applyAlignment="1">
      <alignment horizontal="right" vertical="center"/>
    </xf>
    <xf numFmtId="10" fontId="28" fillId="0" borderId="70" xfId="9" applyNumberFormat="1" applyFont="1" applyFill="1" applyBorder="1" applyAlignment="1">
      <alignment vertical="center"/>
    </xf>
    <xf numFmtId="3" fontId="24" fillId="0" borderId="70" xfId="7" applyNumberFormat="1" applyBorder="1" applyAlignment="1">
      <alignment horizontal="right" vertical="center"/>
    </xf>
    <xf numFmtId="42" fontId="28" fillId="0" borderId="71" xfId="7" applyNumberFormat="1" applyFont="1" applyBorder="1" applyAlignment="1">
      <alignment horizontal="center" vertical="center"/>
    </xf>
    <xf numFmtId="0" fontId="28" fillId="20" borderId="72" xfId="7" applyFont="1" applyFill="1" applyBorder="1" applyAlignment="1">
      <alignment horizontal="left" vertical="center" indent="1"/>
    </xf>
    <xf numFmtId="0" fontId="24" fillId="20" borderId="73" xfId="7" applyFill="1" applyBorder="1" applyAlignment="1">
      <alignment vertical="center"/>
    </xf>
    <xf numFmtId="0" fontId="24" fillId="20" borderId="73" xfId="7" applyFill="1" applyBorder="1" applyAlignment="1">
      <alignment horizontal="center" vertical="center"/>
    </xf>
    <xf numFmtId="175" fontId="24" fillId="20" borderId="73" xfId="7" applyNumberFormat="1" applyFill="1" applyBorder="1" applyAlignment="1">
      <alignment horizontal="right" vertical="center"/>
    </xf>
    <xf numFmtId="3" fontId="24" fillId="20" borderId="73" xfId="7" applyNumberFormat="1" applyFill="1" applyBorder="1" applyAlignment="1">
      <alignment horizontal="right" vertical="center"/>
    </xf>
    <xf numFmtId="0" fontId="24" fillId="0" borderId="33" xfId="7" applyBorder="1" applyAlignment="1">
      <alignment vertical="center"/>
    </xf>
    <xf numFmtId="0" fontId="24" fillId="0" borderId="34" xfId="7" applyBorder="1" applyAlignment="1">
      <alignment vertical="center"/>
    </xf>
    <xf numFmtId="0" fontId="24" fillId="0" borderId="34" xfId="7" applyBorder="1" applyAlignment="1">
      <alignment horizontal="center" vertical="center"/>
    </xf>
    <xf numFmtId="9" fontId="32" fillId="0" borderId="34" xfId="7" applyNumberFormat="1" applyFont="1" applyBorder="1" applyAlignment="1">
      <alignment horizontal="center" vertical="center"/>
    </xf>
    <xf numFmtId="3" fontId="32" fillId="0" borderId="34" xfId="7" applyNumberFormat="1" applyFont="1" applyBorder="1" applyAlignment="1">
      <alignment horizontal="left" vertical="center" indent="1"/>
    </xf>
    <xf numFmtId="42" fontId="43" fillId="8" borderId="35" xfId="7" applyNumberFormat="1" applyFont="1" applyFill="1" applyBorder="1" applyAlignment="1">
      <alignment horizontal="center" vertical="center"/>
    </xf>
    <xf numFmtId="0" fontId="28" fillId="0" borderId="44" xfId="7" applyFont="1" applyBorder="1" applyAlignment="1">
      <alignment horizontal="left" vertical="center" indent="1"/>
    </xf>
    <xf numFmtId="0" fontId="28" fillId="0" borderId="45" xfId="7" applyFont="1" applyBorder="1" applyAlignment="1">
      <alignment vertical="center"/>
    </xf>
    <xf numFmtId="4" fontId="24" fillId="0" borderId="45" xfId="7" applyNumberFormat="1" applyBorder="1" applyAlignment="1">
      <alignment horizontal="right" vertical="center"/>
    </xf>
    <xf numFmtId="177" fontId="24" fillId="0" borderId="45" xfId="7" applyNumberFormat="1" applyBorder="1" applyAlignment="1">
      <alignment horizontal="right" vertical="center"/>
    </xf>
    <xf numFmtId="166" fontId="24" fillId="0" borderId="46" xfId="7" applyNumberFormat="1" applyBorder="1"/>
    <xf numFmtId="166" fontId="24" fillId="21" borderId="55" xfId="8" applyNumberFormat="1" applyFont="1" applyFill="1" applyBorder="1"/>
    <xf numFmtId="166" fontId="24" fillId="22" borderId="18" xfId="8" applyNumberFormat="1" applyFont="1" applyFill="1" applyBorder="1"/>
    <xf numFmtId="166" fontId="24" fillId="22" borderId="19" xfId="8" applyNumberFormat="1" applyFont="1" applyFill="1" applyBorder="1"/>
    <xf numFmtId="166" fontId="24" fillId="21" borderId="18" xfId="8" applyNumberFormat="1" applyFont="1" applyFill="1" applyBorder="1"/>
    <xf numFmtId="0" fontId="31" fillId="0" borderId="18" xfId="7" applyFont="1" applyBorder="1" applyAlignment="1">
      <alignment horizontal="left" vertical="center" indent="1"/>
    </xf>
    <xf numFmtId="0" fontId="30" fillId="0" borderId="16" xfId="7" applyFont="1" applyBorder="1" applyAlignment="1">
      <alignment horizontal="left" vertical="center" indent="2"/>
    </xf>
    <xf numFmtId="4" fontId="24" fillId="0" borderId="16" xfId="7" applyNumberFormat="1" applyBorder="1" applyAlignment="1">
      <alignment horizontal="right" vertical="center"/>
    </xf>
    <xf numFmtId="166" fontId="24" fillId="16" borderId="19" xfId="7" applyNumberFormat="1" applyFill="1" applyBorder="1" applyAlignment="1">
      <alignment horizontal="right" vertical="center"/>
    </xf>
    <xf numFmtId="178" fontId="24" fillId="21" borderId="55" xfId="7" applyNumberFormat="1" applyFill="1" applyBorder="1"/>
    <xf numFmtId="178" fontId="24" fillId="22" borderId="18" xfId="7" applyNumberFormat="1" applyFill="1" applyBorder="1"/>
    <xf numFmtId="178" fontId="24" fillId="22" borderId="19" xfId="7" applyNumberFormat="1" applyFill="1" applyBorder="1"/>
    <xf numFmtId="178" fontId="24" fillId="21" borderId="18" xfId="7" applyNumberFormat="1" applyFill="1" applyBorder="1"/>
    <xf numFmtId="166" fontId="24" fillId="22" borderId="18" xfId="7" applyNumberFormat="1" applyFill="1" applyBorder="1"/>
    <xf numFmtId="0" fontId="46" fillId="0" borderId="16" xfId="7" applyFont="1" applyBorder="1" applyAlignment="1">
      <alignment horizontal="left" vertical="center" indent="2"/>
    </xf>
    <xf numFmtId="166" fontId="24" fillId="0" borderId="19" xfId="7" applyNumberFormat="1" applyBorder="1" applyAlignment="1">
      <alignment horizontal="right" vertical="center"/>
    </xf>
    <xf numFmtId="0" fontId="31" fillId="0" borderId="47" xfId="7" applyFont="1" applyBorder="1" applyAlignment="1">
      <alignment horizontal="left" vertical="center" indent="1"/>
    </xf>
    <xf numFmtId="0" fontId="30" fillId="0" borderId="48" xfId="7" applyFont="1" applyBorder="1" applyAlignment="1">
      <alignment horizontal="left" vertical="center" indent="2"/>
    </xf>
    <xf numFmtId="0" fontId="33" fillId="0" borderId="48" xfId="7" applyFont="1" applyBorder="1" applyAlignment="1">
      <alignment horizontal="center" vertical="center"/>
    </xf>
    <xf numFmtId="166" fontId="0" fillId="0" borderId="48" xfId="8" applyNumberFormat="1" applyFont="1" applyBorder="1"/>
    <xf numFmtId="166" fontId="24" fillId="16" borderId="49" xfId="7" applyNumberFormat="1" applyFill="1" applyBorder="1" applyAlignment="1">
      <alignment horizontal="right" vertical="center"/>
    </xf>
    <xf numFmtId="0" fontId="47" fillId="0" borderId="74" xfId="7" applyFont="1" applyBorder="1" applyAlignment="1">
      <alignment horizontal="left" vertical="center" indent="1"/>
    </xf>
    <xf numFmtId="0" fontId="46" fillId="0" borderId="75" xfId="7" applyFont="1" applyBorder="1" applyAlignment="1">
      <alignment horizontal="left" vertical="center" indent="2"/>
    </xf>
    <xf numFmtId="0" fontId="24" fillId="0" borderId="76" xfId="7" applyBorder="1" applyAlignment="1">
      <alignment horizontal="center" vertical="center"/>
    </xf>
    <xf numFmtId="4" fontId="24" fillId="0" borderId="76" xfId="7" applyNumberFormat="1" applyBorder="1" applyAlignment="1">
      <alignment horizontal="right" vertical="center"/>
    </xf>
    <xf numFmtId="42" fontId="29" fillId="8" borderId="59" xfId="7" applyNumberFormat="1" applyFont="1" applyFill="1" applyBorder="1" applyAlignment="1">
      <alignment horizontal="center" vertical="center"/>
    </xf>
    <xf numFmtId="0" fontId="24" fillId="0" borderId="77" xfId="7" applyBorder="1" applyAlignment="1">
      <alignment vertical="center"/>
    </xf>
    <xf numFmtId="0" fontId="46" fillId="0" borderId="78" xfId="7" applyFont="1" applyBorder="1" applyAlignment="1">
      <alignment horizontal="left" vertical="center" indent="2"/>
    </xf>
    <xf numFmtId="0" fontId="24" fillId="0" borderId="78" xfId="7" applyBorder="1" applyAlignment="1">
      <alignment horizontal="center" vertical="center"/>
    </xf>
    <xf numFmtId="4" fontId="24" fillId="0" borderId="78" xfId="7" applyNumberFormat="1" applyBorder="1" applyAlignment="1">
      <alignment horizontal="right" vertical="center"/>
    </xf>
    <xf numFmtId="42" fontId="28" fillId="0" borderId="37" xfId="7" applyNumberFormat="1" applyFont="1" applyBorder="1" applyAlignment="1">
      <alignment horizontal="center" vertical="center"/>
    </xf>
    <xf numFmtId="0" fontId="28" fillId="0" borderId="57" xfId="7" applyFont="1" applyBorder="1" applyAlignment="1">
      <alignment horizontal="left" vertical="center" indent="1"/>
    </xf>
    <xf numFmtId="0" fontId="46" fillId="0" borderId="58" xfId="7" applyFont="1" applyBorder="1" applyAlignment="1">
      <alignment horizontal="left" vertical="center" indent="2"/>
    </xf>
    <xf numFmtId="0" fontId="24" fillId="0" borderId="58" xfId="7" applyBorder="1" applyAlignment="1">
      <alignment horizontal="center" vertical="center"/>
    </xf>
    <xf numFmtId="4" fontId="24" fillId="0" borderId="58" xfId="7" applyNumberFormat="1" applyBorder="1" applyAlignment="1">
      <alignment horizontal="right" vertical="center"/>
    </xf>
    <xf numFmtId="42" fontId="28" fillId="0" borderId="64" xfId="7" applyNumberFormat="1" applyFont="1" applyBorder="1" applyAlignment="1">
      <alignment horizontal="center" vertical="center"/>
    </xf>
    <xf numFmtId="0" fontId="31" fillId="0" borderId="44" xfId="7" applyFont="1" applyBorder="1" applyAlignment="1">
      <alignment horizontal="left" indent="2"/>
    </xf>
    <xf numFmtId="0" fontId="30" fillId="0" borderId="45" xfId="7" applyFont="1" applyBorder="1" applyAlignment="1">
      <alignment horizontal="center"/>
    </xf>
    <xf numFmtId="168" fontId="28" fillId="0" borderId="45" xfId="9" applyNumberFormat="1" applyFont="1" applyFill="1" applyBorder="1" applyAlignment="1">
      <alignment horizontal="center"/>
    </xf>
    <xf numFmtId="178" fontId="24" fillId="0" borderId="45" xfId="7" applyNumberFormat="1" applyBorder="1"/>
    <xf numFmtId="177" fontId="24" fillId="0" borderId="46" xfId="7" applyNumberFormat="1" applyBorder="1"/>
    <xf numFmtId="0" fontId="24" fillId="0" borderId="18" xfId="7" applyBorder="1" applyAlignment="1">
      <alignment horizontal="left" indent="2"/>
    </xf>
    <xf numFmtId="168" fontId="0" fillId="0" borderId="16" xfId="9" applyNumberFormat="1" applyFont="1" applyFill="1" applyBorder="1" applyAlignment="1">
      <alignment horizontal="left"/>
    </xf>
    <xf numFmtId="166" fontId="24" fillId="0" borderId="16" xfId="8" applyNumberFormat="1" applyFont="1" applyFill="1" applyBorder="1" applyAlignment="1">
      <alignment horizontal="right"/>
    </xf>
    <xf numFmtId="166" fontId="24" fillId="16" borderId="19" xfId="8" applyNumberFormat="1" applyFont="1" applyFill="1" applyBorder="1"/>
    <xf numFmtId="0" fontId="31" fillId="0" borderId="47" xfId="7" applyFont="1" applyBorder="1" applyAlignment="1">
      <alignment horizontal="right" vertical="center" indent="1"/>
    </xf>
    <xf numFmtId="0" fontId="46" fillId="0" borderId="48" xfId="7" applyFont="1" applyBorder="1" applyAlignment="1">
      <alignment horizontal="left" vertical="center" indent="2"/>
    </xf>
    <xf numFmtId="169" fontId="24" fillId="0" borderId="48" xfId="9" applyNumberFormat="1" applyFont="1" applyFill="1" applyBorder="1" applyAlignment="1">
      <alignment horizontal="center"/>
    </xf>
    <xf numFmtId="166" fontId="24" fillId="0" borderId="48" xfId="7" applyNumberFormat="1" applyBorder="1"/>
    <xf numFmtId="166" fontId="28" fillId="0" borderId="49" xfId="7" applyNumberFormat="1" applyFont="1" applyBorder="1" applyAlignment="1">
      <alignment horizontal="right" vertical="center"/>
    </xf>
    <xf numFmtId="0" fontId="46" fillId="0" borderId="45" xfId="7" applyFont="1" applyBorder="1" applyAlignment="1">
      <alignment horizontal="left" vertical="center" indent="2"/>
    </xf>
    <xf numFmtId="169" fontId="24" fillId="0" borderId="45" xfId="9" applyNumberFormat="1" applyFont="1" applyFill="1" applyBorder="1" applyAlignment="1">
      <alignment horizontal="center"/>
    </xf>
    <xf numFmtId="166" fontId="24" fillId="0" borderId="45" xfId="7" applyNumberFormat="1" applyBorder="1"/>
    <xf numFmtId="166" fontId="24" fillId="0" borderId="46" xfId="7" applyNumberFormat="1" applyBorder="1" applyAlignment="1">
      <alignment horizontal="right" vertical="center"/>
    </xf>
    <xf numFmtId="168" fontId="31" fillId="0" borderId="16" xfId="7" applyNumberFormat="1" applyFont="1" applyBorder="1" applyAlignment="1">
      <alignment horizontal="left" vertical="center" indent="2"/>
    </xf>
    <xf numFmtId="166" fontId="24" fillId="0" borderId="16" xfId="7" applyNumberFormat="1" applyBorder="1"/>
    <xf numFmtId="0" fontId="24" fillId="0" borderId="36" xfId="7" applyBorder="1" applyAlignment="1">
      <alignment horizontal="left" indent="1"/>
    </xf>
    <xf numFmtId="0" fontId="46" fillId="0" borderId="0" xfId="7" applyFont="1" applyAlignment="1">
      <alignment horizontal="left" vertical="center" indent="2"/>
    </xf>
    <xf numFmtId="169" fontId="24" fillId="0" borderId="0" xfId="9" applyNumberFormat="1" applyFont="1" applyFill="1" applyBorder="1" applyAlignment="1">
      <alignment horizontal="center"/>
    </xf>
    <xf numFmtId="166" fontId="24" fillId="0" borderId="0" xfId="7" applyNumberFormat="1"/>
    <xf numFmtId="166" fontId="24" fillId="0" borderId="37" xfId="7" applyNumberFormat="1" applyBorder="1" applyAlignment="1">
      <alignment horizontal="right" vertical="center"/>
    </xf>
    <xf numFmtId="169" fontId="32" fillId="0" borderId="0" xfId="9" applyNumberFormat="1" applyFont="1" applyFill="1" applyBorder="1" applyAlignment="1"/>
    <xf numFmtId="169" fontId="43" fillId="0" borderId="0" xfId="9" applyNumberFormat="1" applyFont="1" applyFill="1" applyBorder="1" applyAlignment="1">
      <alignment horizontal="center"/>
    </xf>
    <xf numFmtId="166" fontId="29" fillId="8" borderId="37" xfId="7" applyNumberFormat="1" applyFont="1" applyFill="1" applyBorder="1" applyAlignment="1">
      <alignment horizontal="right" vertical="center"/>
    </xf>
    <xf numFmtId="166" fontId="24" fillId="22" borderId="19" xfId="7" applyNumberFormat="1" applyFill="1" applyBorder="1"/>
    <xf numFmtId="166" fontId="24" fillId="21" borderId="18" xfId="7" applyNumberFormat="1" applyFill="1" applyBorder="1"/>
    <xf numFmtId="166" fontId="24" fillId="21" borderId="19" xfId="7" applyNumberFormat="1" applyFill="1" applyBorder="1"/>
    <xf numFmtId="176" fontId="24" fillId="22" borderId="55" xfId="7" applyNumberFormat="1" applyFill="1" applyBorder="1"/>
    <xf numFmtId="169" fontId="43" fillId="0" borderId="37" xfId="9" applyNumberFormat="1" applyFont="1" applyFill="1" applyBorder="1" applyAlignment="1">
      <alignment horizontal="center"/>
    </xf>
    <xf numFmtId="0" fontId="24" fillId="0" borderId="46" xfId="7" applyBorder="1"/>
    <xf numFmtId="0" fontId="31" fillId="0" borderId="18" xfId="7" applyFont="1" applyBorder="1" applyAlignment="1">
      <alignment horizontal="left" indent="1"/>
    </xf>
    <xf numFmtId="169" fontId="0" fillId="0" borderId="48" xfId="9" applyNumberFormat="1" applyFont="1" applyFill="1" applyBorder="1" applyAlignment="1">
      <alignment horizontal="center"/>
    </xf>
    <xf numFmtId="166" fontId="29" fillId="8" borderId="49" xfId="7" applyNumberFormat="1" applyFont="1" applyFill="1" applyBorder="1" applyAlignment="1">
      <alignment horizontal="right" vertical="center"/>
    </xf>
    <xf numFmtId="0" fontId="31" fillId="0" borderId="77" xfId="7" applyFont="1" applyBorder="1" applyAlignment="1">
      <alignment horizontal="right" vertical="center" indent="1"/>
    </xf>
    <xf numFmtId="0" fontId="33" fillId="0" borderId="78" xfId="7" applyFont="1" applyBorder="1" applyAlignment="1">
      <alignment horizontal="center" vertical="center"/>
    </xf>
    <xf numFmtId="169" fontId="0" fillId="0" borderId="78" xfId="9" applyNumberFormat="1" applyFont="1" applyFill="1" applyBorder="1" applyAlignment="1">
      <alignment horizontal="center"/>
    </xf>
    <xf numFmtId="166" fontId="24" fillId="0" borderId="78" xfId="7" applyNumberFormat="1" applyBorder="1"/>
    <xf numFmtId="166" fontId="28" fillId="0" borderId="79" xfId="7" applyNumberFormat="1" applyFont="1" applyBorder="1" applyAlignment="1">
      <alignment horizontal="right" vertical="center"/>
    </xf>
    <xf numFmtId="0" fontId="44" fillId="0" borderId="77" xfId="7" applyFont="1" applyBorder="1" applyAlignment="1">
      <alignment horizontal="left" vertical="center" indent="1"/>
    </xf>
    <xf numFmtId="10" fontId="24" fillId="0" borderId="78" xfId="9" applyNumberFormat="1" applyFont="1" applyFill="1" applyBorder="1" applyAlignment="1">
      <alignment horizontal="center"/>
    </xf>
    <xf numFmtId="166" fontId="29" fillId="8" borderId="79" xfId="7" applyNumberFormat="1" applyFont="1" applyFill="1" applyBorder="1" applyAlignment="1">
      <alignment horizontal="right" vertical="center"/>
    </xf>
    <xf numFmtId="166" fontId="24" fillId="0" borderId="58" xfId="7" applyNumberFormat="1" applyBorder="1"/>
    <xf numFmtId="166" fontId="28" fillId="0" borderId="64" xfId="7" applyNumberFormat="1" applyFont="1" applyBorder="1" applyAlignment="1">
      <alignment horizontal="right" vertical="center"/>
    </xf>
    <xf numFmtId="42" fontId="42" fillId="20" borderId="49" xfId="7" applyNumberFormat="1" applyFont="1" applyFill="1" applyBorder="1" applyAlignment="1">
      <alignment horizontal="center" vertical="center"/>
    </xf>
    <xf numFmtId="0" fontId="31" fillId="0" borderId="33" xfId="7" applyFont="1" applyBorder="1" applyAlignment="1">
      <alignment horizontal="right" vertical="center" indent="1"/>
    </xf>
    <xf numFmtId="0" fontId="46" fillId="0" borderId="34" xfId="7" applyFont="1" applyBorder="1" applyAlignment="1">
      <alignment horizontal="left" vertical="center" indent="2"/>
    </xf>
    <xf numFmtId="9" fontId="48" fillId="0" borderId="34" xfId="7" applyNumberFormat="1" applyFont="1" applyBorder="1" applyAlignment="1">
      <alignment horizontal="center" vertical="center"/>
    </xf>
    <xf numFmtId="3" fontId="48" fillId="0" borderId="34" xfId="7" applyNumberFormat="1" applyFont="1" applyBorder="1" applyAlignment="1">
      <alignment horizontal="left" vertical="center" indent="1"/>
    </xf>
    <xf numFmtId="42" fontId="24" fillId="8" borderId="35" xfId="7" applyNumberFormat="1" applyFill="1" applyBorder="1" applyAlignment="1">
      <alignment horizontal="center" vertical="center"/>
    </xf>
    <xf numFmtId="0" fontId="31" fillId="0" borderId="36" xfId="7" applyFont="1" applyBorder="1" applyAlignment="1">
      <alignment horizontal="right" vertical="center" indent="1"/>
    </xf>
    <xf numFmtId="3" fontId="48" fillId="0" borderId="0" xfId="7" applyNumberFormat="1" applyFont="1" applyAlignment="1">
      <alignment horizontal="left" vertical="center" indent="1"/>
    </xf>
    <xf numFmtId="42" fontId="24" fillId="8" borderId="37" xfId="7" applyNumberFormat="1" applyFill="1" applyBorder="1" applyAlignment="1">
      <alignment horizontal="center" vertical="center"/>
    </xf>
    <xf numFmtId="9" fontId="24" fillId="0" borderId="78" xfId="7" applyNumberFormat="1" applyBorder="1" applyAlignment="1">
      <alignment horizontal="right" vertical="center"/>
    </xf>
    <xf numFmtId="3" fontId="48" fillId="0" borderId="78" xfId="7" applyNumberFormat="1" applyFont="1" applyBorder="1" applyAlignment="1">
      <alignment horizontal="left" vertical="center" indent="1"/>
    </xf>
    <xf numFmtId="175" fontId="24" fillId="8" borderId="79" xfId="10" applyNumberFormat="1" applyFont="1" applyFill="1" applyBorder="1" applyAlignment="1">
      <alignment horizontal="right" vertical="center"/>
    </xf>
    <xf numFmtId="166" fontId="28" fillId="0" borderId="37" xfId="7" applyNumberFormat="1" applyFont="1" applyBorder="1" applyAlignment="1">
      <alignment horizontal="right" vertical="center"/>
    </xf>
    <xf numFmtId="0" fontId="28" fillId="20" borderId="44" xfId="7" applyFont="1" applyFill="1" applyBorder="1" applyAlignment="1">
      <alignment horizontal="left" vertical="center" indent="1"/>
    </xf>
    <xf numFmtId="0" fontId="28" fillId="20" borderId="45" xfId="7" applyFont="1" applyFill="1" applyBorder="1" applyAlignment="1">
      <alignment vertical="center"/>
    </xf>
    <xf numFmtId="0" fontId="24" fillId="20" borderId="45" xfId="7" applyFill="1" applyBorder="1" applyAlignment="1">
      <alignment horizontal="center" vertical="center"/>
    </xf>
    <xf numFmtId="4" fontId="24" fillId="20" borderId="45" xfId="7" applyNumberFormat="1" applyFill="1" applyBorder="1" applyAlignment="1">
      <alignment horizontal="right" vertical="center"/>
    </xf>
    <xf numFmtId="177" fontId="24" fillId="20" borderId="45" xfId="7" applyNumberFormat="1" applyFill="1" applyBorder="1" applyAlignment="1">
      <alignment horizontal="right" vertical="center"/>
    </xf>
    <xf numFmtId="0" fontId="24" fillId="20" borderId="46" xfId="7" applyFill="1" applyBorder="1"/>
    <xf numFmtId="9" fontId="31" fillId="0" borderId="18" xfId="7" applyNumberFormat="1" applyFont="1" applyBorder="1" applyAlignment="1">
      <alignment horizontal="left" indent="1"/>
    </xf>
    <xf numFmtId="0" fontId="32" fillId="0" borderId="16" xfId="7" applyFont="1" applyBorder="1" applyAlignment="1">
      <alignment horizontal="center" vertical="center"/>
    </xf>
    <xf numFmtId="175" fontId="0" fillId="0" borderId="16" xfId="9" applyNumberFormat="1" applyFont="1" applyFill="1" applyBorder="1" applyAlignment="1">
      <alignment horizontal="center"/>
    </xf>
    <xf numFmtId="166" fontId="31" fillId="16" borderId="19" xfId="7" applyNumberFormat="1" applyFont="1" applyFill="1" applyBorder="1" applyAlignment="1">
      <alignment horizontal="right" vertical="center"/>
    </xf>
    <xf numFmtId="16" fontId="24" fillId="22" borderId="19" xfId="7" applyNumberFormat="1" applyFill="1" applyBorder="1"/>
    <xf numFmtId="16" fontId="24" fillId="21" borderId="18" xfId="7" applyNumberFormat="1" applyFill="1" applyBorder="1"/>
    <xf numFmtId="16" fontId="24" fillId="22" borderId="55" xfId="7" applyNumberFormat="1" applyFill="1" applyBorder="1"/>
    <xf numFmtId="16" fontId="24" fillId="0" borderId="0" xfId="7" applyNumberFormat="1"/>
    <xf numFmtId="9" fontId="31" fillId="0" borderId="47" xfId="7" applyNumberFormat="1" applyFont="1" applyBorder="1" applyAlignment="1">
      <alignment horizontal="left" indent="1"/>
    </xf>
    <xf numFmtId="0" fontId="32" fillId="0" borderId="48" xfId="7" applyFont="1" applyBorder="1" applyAlignment="1">
      <alignment horizontal="center" vertical="center"/>
    </xf>
    <xf numFmtId="175" fontId="0" fillId="0" borderId="48" xfId="9" applyNumberFormat="1" applyFont="1" applyFill="1" applyBorder="1" applyAlignment="1">
      <alignment horizontal="center"/>
    </xf>
    <xf numFmtId="166" fontId="31" fillId="16" borderId="49" xfId="7" applyNumberFormat="1" applyFont="1" applyFill="1" applyBorder="1" applyAlignment="1">
      <alignment horizontal="right" vertical="center"/>
    </xf>
    <xf numFmtId="9" fontId="31" fillId="0" borderId="15" xfId="7" applyNumberFormat="1" applyFont="1" applyBorder="1" applyAlignment="1">
      <alignment horizontal="left" indent="1"/>
    </xf>
    <xf numFmtId="0" fontId="46" fillId="0" borderId="80" xfId="7" applyFont="1" applyBorder="1" applyAlignment="1">
      <alignment horizontal="left" vertical="center" indent="2"/>
    </xf>
    <xf numFmtId="0" fontId="24" fillId="0" borderId="80" xfId="7" applyBorder="1" applyAlignment="1">
      <alignment horizontal="center" vertical="center"/>
    </xf>
    <xf numFmtId="175" fontId="0" fillId="0" borderId="80" xfId="9" applyNumberFormat="1" applyFont="1" applyFill="1" applyBorder="1" applyAlignment="1">
      <alignment horizontal="center"/>
    </xf>
    <xf numFmtId="166" fontId="24" fillId="0" borderId="80" xfId="7" applyNumberFormat="1" applyBorder="1"/>
    <xf numFmtId="166" fontId="31" fillId="0" borderId="62" xfId="7" applyNumberFormat="1" applyFont="1" applyBorder="1" applyAlignment="1">
      <alignment horizontal="right" vertical="center"/>
    </xf>
    <xf numFmtId="16" fontId="24" fillId="21" borderId="19" xfId="7" applyNumberFormat="1" applyFill="1" applyBorder="1"/>
    <xf numFmtId="0" fontId="28" fillId="0" borderId="36" xfId="7" applyFont="1" applyBorder="1" applyAlignment="1">
      <alignment horizontal="left" vertical="center" indent="1"/>
    </xf>
    <xf numFmtId="177" fontId="24" fillId="0" borderId="0" xfId="7" applyNumberFormat="1" applyAlignment="1">
      <alignment horizontal="right" vertical="center"/>
    </xf>
    <xf numFmtId="10" fontId="28" fillId="0" borderId="0" xfId="9" applyNumberFormat="1" applyFont="1" applyFill="1" applyBorder="1" applyAlignment="1">
      <alignment vertical="center"/>
    </xf>
    <xf numFmtId="3" fontId="24" fillId="0" borderId="0" xfId="7" applyNumberFormat="1" applyAlignment="1">
      <alignment horizontal="right" vertical="center"/>
    </xf>
    <xf numFmtId="0" fontId="24" fillId="0" borderId="72" xfId="7" applyBorder="1" applyAlignment="1">
      <alignment horizontal="left" vertical="center" indent="1"/>
    </xf>
    <xf numFmtId="0" fontId="30" fillId="0" borderId="73" xfId="7" applyFont="1" applyBorder="1" applyAlignment="1">
      <alignment horizontal="left" vertical="center" indent="2"/>
    </xf>
    <xf numFmtId="0" fontId="33" fillId="0" borderId="73" xfId="7" applyFont="1" applyBorder="1" applyAlignment="1">
      <alignment horizontal="center" vertical="center"/>
    </xf>
    <xf numFmtId="175" fontId="24" fillId="0" borderId="73" xfId="9" applyNumberFormat="1" applyFont="1" applyFill="1" applyBorder="1" applyAlignment="1">
      <alignment horizontal="center"/>
    </xf>
    <xf numFmtId="166" fontId="24" fillId="0" borderId="73" xfId="7" applyNumberFormat="1" applyBorder="1"/>
    <xf numFmtId="166" fontId="24" fillId="16" borderId="59" xfId="7" applyNumberFormat="1" applyFill="1" applyBorder="1" applyAlignment="1">
      <alignment horizontal="right" vertical="center"/>
    </xf>
    <xf numFmtId="0" fontId="24" fillId="0" borderId="67" xfId="7" applyBorder="1" applyAlignment="1">
      <alignment horizontal="left" vertical="center" indent="1"/>
    </xf>
    <xf numFmtId="0" fontId="46" fillId="0" borderId="70" xfId="7" applyFont="1" applyBorder="1" applyAlignment="1">
      <alignment horizontal="left" vertical="center" indent="2"/>
    </xf>
    <xf numFmtId="0" fontId="33" fillId="0" borderId="70" xfId="7" applyFont="1" applyBorder="1" applyAlignment="1">
      <alignment horizontal="center" vertical="center"/>
    </xf>
    <xf numFmtId="175" fontId="24" fillId="0" borderId="70" xfId="9" applyNumberFormat="1" applyFont="1" applyFill="1" applyBorder="1" applyAlignment="1">
      <alignment horizontal="center"/>
    </xf>
    <xf numFmtId="4" fontId="24" fillId="0" borderId="48" xfId="7" applyNumberFormat="1" applyBorder="1" applyAlignment="1">
      <alignment horizontal="right" vertical="center"/>
    </xf>
    <xf numFmtId="0" fontId="28" fillId="0" borderId="33" xfId="7" applyFont="1" applyBorder="1" applyAlignment="1">
      <alignment horizontal="left" vertical="center" indent="1"/>
    </xf>
    <xf numFmtId="0" fontId="24" fillId="0" borderId="34" xfId="7" applyBorder="1"/>
    <xf numFmtId="177" fontId="24" fillId="0" borderId="34" xfId="7" applyNumberFormat="1" applyBorder="1" applyAlignment="1">
      <alignment horizontal="right" vertical="center"/>
    </xf>
    <xf numFmtId="10" fontId="28" fillId="0" borderId="34" xfId="9" applyNumberFormat="1" applyFont="1" applyFill="1" applyBorder="1" applyAlignment="1">
      <alignment vertical="center"/>
    </xf>
    <xf numFmtId="3" fontId="24" fillId="0" borderId="34" xfId="7" applyNumberFormat="1" applyBorder="1" applyAlignment="1">
      <alignment horizontal="right" vertical="center"/>
    </xf>
    <xf numFmtId="42" fontId="28" fillId="0" borderId="35" xfId="7" applyNumberFormat="1" applyFont="1" applyBorder="1" applyAlignment="1">
      <alignment horizontal="center" vertical="center"/>
    </xf>
    <xf numFmtId="42" fontId="28" fillId="0" borderId="79" xfId="7" applyNumberFormat="1" applyFont="1" applyBorder="1" applyAlignment="1">
      <alignment horizontal="center" vertical="center"/>
    </xf>
    <xf numFmtId="166" fontId="24" fillId="21" borderId="55" xfId="7" applyNumberFormat="1" applyFill="1" applyBorder="1"/>
    <xf numFmtId="177" fontId="24" fillId="21" borderId="19" xfId="8" applyNumberFormat="1" applyFont="1" applyFill="1" applyBorder="1"/>
    <xf numFmtId="177" fontId="24" fillId="22" borderId="18" xfId="8" applyNumberFormat="1" applyFont="1" applyFill="1" applyBorder="1"/>
    <xf numFmtId="0" fontId="31" fillId="0" borderId="38" xfId="7" applyFont="1" applyBorder="1" applyAlignment="1">
      <alignment horizontal="right" vertical="center" indent="1"/>
    </xf>
    <xf numFmtId="0" fontId="46" fillId="0" borderId="1" xfId="7" applyFont="1" applyBorder="1" applyAlignment="1">
      <alignment horizontal="left" vertical="center" indent="2"/>
    </xf>
    <xf numFmtId="175" fontId="24" fillId="8" borderId="39" xfId="10" applyNumberFormat="1" applyFont="1" applyFill="1" applyBorder="1" applyAlignment="1">
      <alignment horizontal="right" vertical="center"/>
    </xf>
    <xf numFmtId="177" fontId="24" fillId="21" borderId="60" xfId="7" applyNumberFormat="1" applyFill="1" applyBorder="1"/>
    <xf numFmtId="177" fontId="24" fillId="22" borderId="47" xfId="7" applyNumberFormat="1" applyFill="1" applyBorder="1"/>
    <xf numFmtId="177" fontId="24" fillId="22" borderId="49" xfId="7" applyNumberFormat="1" applyFill="1" applyBorder="1"/>
    <xf numFmtId="177" fontId="24" fillId="21" borderId="47" xfId="7" applyNumberFormat="1" applyFill="1" applyBorder="1"/>
    <xf numFmtId="177" fontId="24" fillId="21" borderId="49" xfId="7" applyNumberFormat="1" applyFill="1" applyBorder="1"/>
    <xf numFmtId="0" fontId="31" fillId="0" borderId="0" xfId="7" applyFont="1" applyAlignment="1">
      <alignment horizontal="right" vertical="center" indent="1"/>
    </xf>
    <xf numFmtId="4" fontId="24" fillId="0" borderId="0" xfId="7" applyNumberFormat="1" applyAlignment="1">
      <alignment horizontal="right" vertical="center"/>
    </xf>
    <xf numFmtId="44" fontId="0" fillId="0" borderId="0" xfId="8" applyFont="1" applyBorder="1"/>
    <xf numFmtId="176" fontId="24" fillId="21" borderId="63" xfId="7" applyNumberFormat="1" applyFill="1" applyBorder="1"/>
    <xf numFmtId="176" fontId="24" fillId="22" borderId="44" xfId="7" applyNumberFormat="1" applyFill="1" applyBorder="1"/>
    <xf numFmtId="176" fontId="24" fillId="22" borderId="46" xfId="7" applyNumberFormat="1" applyFill="1" applyBorder="1"/>
    <xf numFmtId="176" fontId="24" fillId="21" borderId="44" xfId="7" applyNumberFormat="1" applyFill="1" applyBorder="1"/>
    <xf numFmtId="176" fontId="24" fillId="21" borderId="46" xfId="7" applyNumberFormat="1" applyFill="1" applyBorder="1"/>
    <xf numFmtId="0" fontId="31" fillId="0" borderId="44" xfId="7" applyFont="1" applyBorder="1" applyAlignment="1">
      <alignment horizontal="left" indent="1"/>
    </xf>
    <xf numFmtId="0" fontId="33" fillId="0" borderId="45" xfId="7" applyFont="1" applyBorder="1" applyAlignment="1">
      <alignment horizontal="center" vertical="center"/>
    </xf>
    <xf numFmtId="175" fontId="24" fillId="0" borderId="45" xfId="10" applyNumberFormat="1" applyFont="1" applyFill="1" applyBorder="1" applyAlignment="1">
      <alignment horizontal="right" indent="1"/>
    </xf>
    <xf numFmtId="177" fontId="24" fillId="0" borderId="45" xfId="7" applyNumberFormat="1" applyBorder="1" applyAlignment="1">
      <alignment vertical="center"/>
    </xf>
    <xf numFmtId="166" fontId="24" fillId="16" borderId="46" xfId="7" applyNumberFormat="1" applyFill="1" applyBorder="1" applyAlignment="1">
      <alignment horizontal="right" vertical="center"/>
    </xf>
    <xf numFmtId="10" fontId="24" fillId="0" borderId="16" xfId="9" applyNumberFormat="1" applyFont="1" applyFill="1" applyBorder="1" applyAlignment="1">
      <alignment horizontal="center"/>
    </xf>
    <xf numFmtId="167" fontId="24" fillId="0" borderId="16" xfId="9" applyFont="1" applyFill="1" applyBorder="1" applyAlignment="1">
      <alignment horizontal="center"/>
    </xf>
    <xf numFmtId="166" fontId="24" fillId="22" borderId="55" xfId="7" applyNumberFormat="1" applyFill="1" applyBorder="1"/>
    <xf numFmtId="0" fontId="31" fillId="0" borderId="47" xfId="7" applyFont="1" applyBorder="1" applyAlignment="1">
      <alignment horizontal="left" indent="1"/>
    </xf>
    <xf numFmtId="0" fontId="32" fillId="0" borderId="48" xfId="7" applyFont="1" applyBorder="1" applyAlignment="1">
      <alignment horizontal="center"/>
    </xf>
    <xf numFmtId="168" fontId="24" fillId="0" borderId="48" xfId="9" applyNumberFormat="1" applyFont="1" applyFill="1" applyBorder="1" applyAlignment="1">
      <alignment horizontal="center"/>
    </xf>
    <xf numFmtId="166" fontId="0" fillId="0" borderId="48" xfId="8" applyNumberFormat="1" applyFont="1" applyFill="1" applyBorder="1"/>
    <xf numFmtId="0" fontId="24" fillId="0" borderId="33" xfId="7" applyBorder="1"/>
    <xf numFmtId="42" fontId="28" fillId="8" borderId="35" xfId="7" applyNumberFormat="1" applyFont="1" applyFill="1" applyBorder="1" applyAlignment="1">
      <alignment horizontal="center" vertical="center"/>
    </xf>
    <xf numFmtId="42" fontId="28" fillId="8" borderId="37" xfId="7" applyNumberFormat="1" applyFont="1" applyFill="1" applyBorder="1" applyAlignment="1">
      <alignment horizontal="center" vertical="center"/>
    </xf>
    <xf numFmtId="0" fontId="28" fillId="0" borderId="38" xfId="7" applyFont="1" applyBorder="1" applyAlignment="1">
      <alignment horizontal="left" vertical="center" indent="1"/>
    </xf>
    <xf numFmtId="0" fontId="28" fillId="0" borderId="0" xfId="7" applyFont="1" applyAlignment="1">
      <alignment horizontal="left" vertical="center" indent="1"/>
    </xf>
    <xf numFmtId="175" fontId="24" fillId="0" borderId="0" xfId="7" applyNumberFormat="1" applyAlignment="1">
      <alignment horizontal="right" vertical="center"/>
    </xf>
    <xf numFmtId="42" fontId="29" fillId="0" borderId="0" xfId="7" applyNumberFormat="1" applyFont="1" applyAlignment="1">
      <alignment horizontal="center" vertical="center"/>
    </xf>
    <xf numFmtId="177" fontId="24" fillId="21" borderId="61" xfId="7" applyNumberFormat="1" applyFill="1" applyBorder="1"/>
    <xf numFmtId="177" fontId="24" fillId="22" borderId="15" xfId="7" applyNumberFormat="1" applyFill="1" applyBorder="1"/>
    <xf numFmtId="177" fontId="24" fillId="22" borderId="62" xfId="7" applyNumberFormat="1" applyFill="1" applyBorder="1"/>
    <xf numFmtId="177" fontId="24" fillId="21" borderId="15" xfId="7" applyNumberFormat="1" applyFill="1" applyBorder="1"/>
    <xf numFmtId="177" fontId="24" fillId="21" borderId="62" xfId="7" applyNumberFormat="1" applyFill="1" applyBorder="1"/>
    <xf numFmtId="177" fontId="24" fillId="21" borderId="63" xfId="7" applyNumberFormat="1" applyFill="1" applyBorder="1"/>
    <xf numFmtId="177" fontId="24" fillId="22" borderId="44" xfId="7" applyNumberFormat="1" applyFill="1" applyBorder="1"/>
    <xf numFmtId="177" fontId="24" fillId="22" borderId="46" xfId="7" applyNumberFormat="1" applyFill="1" applyBorder="1"/>
    <xf numFmtId="177" fontId="24" fillId="21" borderId="44" xfId="7" applyNumberFormat="1" applyFill="1" applyBorder="1"/>
    <xf numFmtId="177" fontId="24" fillId="21" borderId="46" xfId="7" applyNumberFormat="1" applyFill="1" applyBorder="1"/>
    <xf numFmtId="0" fontId="31" fillId="0" borderId="44" xfId="7" applyFont="1" applyBorder="1" applyAlignment="1">
      <alignment horizontal="left" vertical="center" indent="1"/>
    </xf>
    <xf numFmtId="175" fontId="0" fillId="0" borderId="45" xfId="10" applyNumberFormat="1" applyFont="1" applyFill="1" applyBorder="1" applyAlignment="1">
      <alignment horizontal="center" vertical="center"/>
    </xf>
    <xf numFmtId="42" fontId="24" fillId="16" borderId="46" xfId="7" applyNumberFormat="1" applyFill="1" applyBorder="1" applyAlignment="1">
      <alignment horizontal="center" vertical="center"/>
    </xf>
    <xf numFmtId="175" fontId="0" fillId="0" borderId="16" xfId="10" applyNumberFormat="1" applyFont="1" applyFill="1" applyBorder="1" applyAlignment="1">
      <alignment horizontal="center" vertical="center"/>
    </xf>
    <xf numFmtId="177" fontId="24" fillId="0" borderId="16" xfId="7" applyNumberFormat="1" applyBorder="1" applyAlignment="1">
      <alignment vertical="center"/>
    </xf>
    <xf numFmtId="166" fontId="42" fillId="20" borderId="59" xfId="7" applyNumberFormat="1" applyFont="1" applyFill="1" applyBorder="1" applyAlignment="1">
      <alignment horizontal="left" vertical="center" indent="3"/>
    </xf>
    <xf numFmtId="177" fontId="37" fillId="0" borderId="0" xfId="8" applyNumberFormat="1" applyFont="1" applyAlignment="1">
      <alignment horizontal="center"/>
    </xf>
    <xf numFmtId="0" fontId="28" fillId="0" borderId="36" xfId="7" applyFont="1" applyBorder="1" applyAlignment="1">
      <alignment vertical="center"/>
    </xf>
    <xf numFmtId="175" fontId="0" fillId="0" borderId="0" xfId="10" applyNumberFormat="1" applyFont="1" applyAlignment="1">
      <alignment horizontal="center"/>
    </xf>
    <xf numFmtId="0" fontId="28" fillId="0" borderId="38" xfId="7" applyFont="1" applyBorder="1" applyAlignment="1">
      <alignment vertical="center"/>
    </xf>
    <xf numFmtId="177" fontId="28" fillId="21" borderId="60" xfId="7" applyNumberFormat="1" applyFont="1" applyFill="1" applyBorder="1"/>
    <xf numFmtId="177" fontId="28" fillId="22" borderId="47" xfId="7" applyNumberFormat="1" applyFont="1" applyFill="1" applyBorder="1"/>
    <xf numFmtId="177" fontId="28" fillId="22" borderId="49" xfId="7" applyNumberFormat="1" applyFont="1" applyFill="1" applyBorder="1"/>
    <xf numFmtId="177" fontId="28" fillId="21" borderId="47" xfId="7" applyNumberFormat="1" applyFont="1" applyFill="1" applyBorder="1"/>
    <xf numFmtId="0" fontId="24" fillId="0" borderId="0" xfId="7" applyAlignment="1">
      <alignment horizontal="right"/>
    </xf>
    <xf numFmtId="177" fontId="31" fillId="21" borderId="61" xfId="7" applyNumberFormat="1" applyFont="1" applyFill="1" applyBorder="1"/>
    <xf numFmtId="177" fontId="28" fillId="22" borderId="15" xfId="7" applyNumberFormat="1" applyFont="1" applyFill="1" applyBorder="1"/>
    <xf numFmtId="177" fontId="28" fillId="22" borderId="62" xfId="7" applyNumberFormat="1" applyFont="1" applyFill="1" applyBorder="1"/>
    <xf numFmtId="177" fontId="28" fillId="21" borderId="15" xfId="7" applyNumberFormat="1" applyFont="1" applyFill="1" applyBorder="1"/>
    <xf numFmtId="177" fontId="28" fillId="21" borderId="62" xfId="7" applyNumberFormat="1" applyFont="1" applyFill="1" applyBorder="1"/>
    <xf numFmtId="0" fontId="28" fillId="20" borderId="30" xfId="7" applyFont="1" applyFill="1" applyBorder="1" applyAlignment="1">
      <alignment vertical="center"/>
    </xf>
    <xf numFmtId="177" fontId="28" fillId="21" borderId="63" xfId="7" applyNumberFormat="1" applyFont="1" applyFill="1" applyBorder="1"/>
    <xf numFmtId="177" fontId="28" fillId="22" borderId="44" xfId="7" applyNumberFormat="1" applyFont="1" applyFill="1" applyBorder="1"/>
    <xf numFmtId="177" fontId="28" fillId="22" borderId="46" xfId="7" applyNumberFormat="1" applyFont="1" applyFill="1" applyBorder="1"/>
    <xf numFmtId="177" fontId="28" fillId="21" borderId="44" xfId="7" applyNumberFormat="1" applyFont="1" applyFill="1" applyBorder="1"/>
    <xf numFmtId="9" fontId="24" fillId="0" borderId="45" xfId="7" applyNumberFormat="1" applyBorder="1" applyAlignment="1">
      <alignment horizontal="right" vertical="center"/>
    </xf>
    <xf numFmtId="3" fontId="32" fillId="0" borderId="45" xfId="7" applyNumberFormat="1" applyFont="1" applyBorder="1" applyAlignment="1">
      <alignment horizontal="left" vertical="center" indent="1"/>
    </xf>
    <xf numFmtId="177" fontId="31" fillId="16" borderId="46" xfId="10" applyNumberFormat="1" applyFont="1" applyFill="1" applyBorder="1" applyAlignment="1">
      <alignment horizontal="right" vertical="center"/>
    </xf>
    <xf numFmtId="177" fontId="28" fillId="21" borderId="55" xfId="7" applyNumberFormat="1" applyFont="1" applyFill="1" applyBorder="1"/>
    <xf numFmtId="177" fontId="28" fillId="22" borderId="18" xfId="7" applyNumberFormat="1" applyFont="1" applyFill="1" applyBorder="1"/>
    <xf numFmtId="177" fontId="28" fillId="22" borderId="19" xfId="7" applyNumberFormat="1" applyFont="1" applyFill="1" applyBorder="1"/>
    <xf numFmtId="177" fontId="28" fillId="21" borderId="18" xfId="7" applyNumberFormat="1" applyFont="1" applyFill="1" applyBorder="1"/>
    <xf numFmtId="10" fontId="24" fillId="0" borderId="16" xfId="7" applyNumberFormat="1" applyBorder="1" applyAlignment="1">
      <alignment horizontal="right" vertical="center"/>
    </xf>
    <xf numFmtId="166" fontId="32" fillId="0" borderId="16" xfId="8" applyNumberFormat="1" applyFont="1" applyFill="1" applyBorder="1" applyAlignment="1">
      <alignment horizontal="left" vertical="center" indent="1"/>
    </xf>
    <xf numFmtId="177" fontId="31" fillId="16" borderId="19" xfId="10" applyNumberFormat="1" applyFont="1" applyFill="1" applyBorder="1" applyAlignment="1">
      <alignment horizontal="right" vertical="center"/>
    </xf>
    <xf numFmtId="1" fontId="24" fillId="0" borderId="16" xfId="7" applyNumberFormat="1" applyBorder="1" applyAlignment="1">
      <alignment horizontal="center" vertical="center"/>
    </xf>
    <xf numFmtId="166" fontId="31" fillId="0" borderId="16" xfId="8" applyNumberFormat="1" applyFont="1" applyFill="1" applyBorder="1" applyAlignment="1">
      <alignment horizontal="left" vertical="center" indent="1"/>
    </xf>
    <xf numFmtId="0" fontId="24" fillId="0" borderId="48" xfId="7" applyBorder="1" applyAlignment="1">
      <alignment vertical="center"/>
    </xf>
    <xf numFmtId="9" fontId="24" fillId="0" borderId="48" xfId="7" applyNumberFormat="1" applyBorder="1" applyAlignment="1">
      <alignment horizontal="right" vertical="center"/>
    </xf>
    <xf numFmtId="3" fontId="32" fillId="0" borderId="48" xfId="7" applyNumberFormat="1" applyFont="1" applyBorder="1" applyAlignment="1">
      <alignment horizontal="left" vertical="center" indent="1"/>
    </xf>
    <xf numFmtId="177" fontId="31" fillId="16" borderId="49" xfId="10" applyNumberFormat="1" applyFont="1" applyFill="1" applyBorder="1" applyAlignment="1">
      <alignment horizontal="right" vertical="center"/>
    </xf>
    <xf numFmtId="177" fontId="31" fillId="21" borderId="55" xfId="7" applyNumberFormat="1" applyFont="1" applyFill="1" applyBorder="1"/>
    <xf numFmtId="177" fontId="31" fillId="22" borderId="18" xfId="7" applyNumberFormat="1" applyFont="1" applyFill="1" applyBorder="1"/>
    <xf numFmtId="177" fontId="31" fillId="22" borderId="19" xfId="7" applyNumberFormat="1" applyFont="1" applyFill="1" applyBorder="1"/>
    <xf numFmtId="177" fontId="31" fillId="21" borderId="18" xfId="7" applyNumberFormat="1" applyFont="1" applyFill="1" applyBorder="1"/>
    <xf numFmtId="177" fontId="31" fillId="21" borderId="19" xfId="7" applyNumberFormat="1" applyFont="1" applyFill="1" applyBorder="1"/>
    <xf numFmtId="177" fontId="28" fillId="21" borderId="61" xfId="7" applyNumberFormat="1" applyFont="1" applyFill="1" applyBorder="1"/>
    <xf numFmtId="0" fontId="24" fillId="0" borderId="36" xfId="7" applyBorder="1" applyAlignment="1">
      <alignment horizontal="left" vertical="center" indent="1"/>
    </xf>
    <xf numFmtId="177" fontId="28" fillId="16" borderId="37" xfId="10" applyNumberFormat="1" applyFont="1" applyFill="1" applyBorder="1" applyAlignment="1">
      <alignment horizontal="right" vertical="center"/>
    </xf>
    <xf numFmtId="9" fontId="24" fillId="0" borderId="0" xfId="7" applyNumberFormat="1" applyAlignment="1">
      <alignment horizontal="center" vertical="center"/>
    </xf>
    <xf numFmtId="0" fontId="28" fillId="20" borderId="57" xfId="7" applyFont="1" applyFill="1" applyBorder="1" applyAlignment="1">
      <alignment vertical="center"/>
    </xf>
    <xf numFmtId="177" fontId="28" fillId="20" borderId="64" xfId="10" applyNumberFormat="1" applyFont="1" applyFill="1" applyBorder="1" applyAlignment="1">
      <alignment horizontal="right" vertical="center"/>
    </xf>
    <xf numFmtId="0" fontId="32" fillId="0" borderId="45" xfId="7" applyFont="1" applyBorder="1" applyAlignment="1">
      <alignment horizontal="center" vertical="center"/>
    </xf>
    <xf numFmtId="10" fontId="24" fillId="0" borderId="45" xfId="7" applyNumberFormat="1" applyBorder="1" applyAlignment="1">
      <alignment horizontal="center" vertical="center"/>
    </xf>
    <xf numFmtId="9" fontId="24" fillId="0" borderId="16" xfId="7" applyNumberFormat="1" applyBorder="1" applyAlignment="1">
      <alignment horizontal="right" vertical="center"/>
    </xf>
    <xf numFmtId="3" fontId="32" fillId="0" borderId="16" xfId="7" applyNumberFormat="1" applyFont="1" applyBorder="1" applyAlignment="1">
      <alignment horizontal="left" vertical="center" indent="1"/>
    </xf>
    <xf numFmtId="175" fontId="28" fillId="16" borderId="19" xfId="10" applyNumberFormat="1" applyFont="1" applyFill="1" applyBorder="1" applyAlignment="1">
      <alignment horizontal="right" vertical="center"/>
    </xf>
    <xf numFmtId="1" fontId="0" fillId="0" borderId="48" xfId="9" applyNumberFormat="1" applyFont="1" applyFill="1" applyBorder="1" applyAlignment="1">
      <alignment horizontal="center" vertical="center"/>
    </xf>
    <xf numFmtId="176" fontId="31" fillId="0" borderId="48" xfId="7" applyNumberFormat="1" applyFont="1" applyBorder="1" applyAlignment="1">
      <alignment horizontal="left" vertical="center" indent="1"/>
    </xf>
    <xf numFmtId="166" fontId="31" fillId="16" borderId="49" xfId="8" applyNumberFormat="1" applyFont="1" applyFill="1" applyBorder="1" applyAlignment="1">
      <alignment horizontal="right" vertical="center"/>
    </xf>
    <xf numFmtId="0" fontId="28" fillId="20" borderId="67" xfId="7" applyFont="1" applyFill="1" applyBorder="1" applyAlignment="1">
      <alignment horizontal="left" vertical="center" indent="1"/>
    </xf>
    <xf numFmtId="0" fontId="24" fillId="20" borderId="78" xfId="7" applyFill="1" applyBorder="1" applyAlignment="1">
      <alignment vertical="center"/>
    </xf>
    <xf numFmtId="0" fontId="24" fillId="20" borderId="78" xfId="7" applyFill="1" applyBorder="1" applyAlignment="1">
      <alignment horizontal="center" vertical="center"/>
    </xf>
    <xf numFmtId="9" fontId="24" fillId="20" borderId="78" xfId="7" applyNumberFormat="1" applyFill="1" applyBorder="1" applyAlignment="1">
      <alignment horizontal="right" vertical="center"/>
    </xf>
    <xf numFmtId="3" fontId="32" fillId="20" borderId="78" xfId="7" applyNumberFormat="1" applyFont="1" applyFill="1" applyBorder="1" applyAlignment="1">
      <alignment horizontal="left" vertical="center" indent="1"/>
    </xf>
    <xf numFmtId="177" fontId="42" fillId="20" borderId="79" xfId="10" applyNumberFormat="1" applyFont="1" applyFill="1" applyBorder="1" applyAlignment="1">
      <alignment horizontal="right" vertical="center"/>
    </xf>
    <xf numFmtId="175" fontId="28" fillId="16" borderId="46" xfId="10" applyNumberFormat="1" applyFont="1" applyFill="1" applyBorder="1" applyAlignment="1">
      <alignment horizontal="right" vertical="center"/>
    </xf>
    <xf numFmtId="175" fontId="28" fillId="16" borderId="49" xfId="10" applyNumberFormat="1" applyFont="1" applyFill="1" applyBorder="1" applyAlignment="1">
      <alignment horizontal="right" vertical="center"/>
    </xf>
    <xf numFmtId="42" fontId="28" fillId="23" borderId="37" xfId="7" applyNumberFormat="1" applyFont="1" applyFill="1" applyBorder="1" applyAlignment="1">
      <alignment horizontal="center" vertical="center"/>
    </xf>
    <xf numFmtId="177" fontId="28" fillId="21" borderId="54" xfId="7" applyNumberFormat="1" applyFont="1" applyFill="1" applyBorder="1"/>
    <xf numFmtId="177" fontId="28" fillId="22" borderId="7" xfId="7" applyNumberFormat="1" applyFont="1" applyFill="1" applyBorder="1"/>
    <xf numFmtId="177" fontId="28" fillId="22" borderId="9" xfId="7" applyNumberFormat="1" applyFont="1" applyFill="1" applyBorder="1"/>
    <xf numFmtId="177" fontId="28" fillId="21" borderId="7" xfId="7" applyNumberFormat="1" applyFont="1" applyFill="1" applyBorder="1"/>
    <xf numFmtId="177" fontId="24" fillId="21" borderId="9" xfId="7" applyNumberFormat="1" applyFill="1" applyBorder="1"/>
    <xf numFmtId="177" fontId="24" fillId="22" borderId="7" xfId="7" applyNumberFormat="1" applyFill="1" applyBorder="1"/>
    <xf numFmtId="0" fontId="24" fillId="22" borderId="9" xfId="7" applyFill="1" applyBorder="1"/>
    <xf numFmtId="0" fontId="24" fillId="21" borderId="7" xfId="7" applyFill="1" applyBorder="1"/>
    <xf numFmtId="0" fontId="24" fillId="21" borderId="9" xfId="7" applyFill="1" applyBorder="1"/>
    <xf numFmtId="0" fontId="24" fillId="22" borderId="54" xfId="7" applyFill="1" applyBorder="1"/>
    <xf numFmtId="177" fontId="28" fillId="0" borderId="0" xfId="7" applyNumberFormat="1" applyFont="1"/>
    <xf numFmtId="177" fontId="24" fillId="0" borderId="0" xfId="7" applyNumberFormat="1"/>
    <xf numFmtId="0" fontId="28" fillId="0" borderId="1" xfId="7" applyFont="1" applyBorder="1" applyAlignment="1">
      <alignment vertical="center"/>
    </xf>
    <xf numFmtId="175" fontId="28" fillId="0" borderId="1" xfId="10" applyNumberFormat="1" applyFont="1" applyFill="1" applyBorder="1" applyAlignment="1">
      <alignment horizontal="right" vertical="center"/>
    </xf>
    <xf numFmtId="0" fontId="49" fillId="24" borderId="6" xfId="7" applyFont="1" applyFill="1" applyBorder="1" applyAlignment="1">
      <alignment vertical="center"/>
    </xf>
    <xf numFmtId="0" fontId="49" fillId="24" borderId="29" xfId="7" applyFont="1" applyFill="1" applyBorder="1" applyAlignment="1">
      <alignment vertical="center"/>
    </xf>
    <xf numFmtId="0" fontId="49" fillId="24" borderId="29" xfId="7" applyFont="1" applyFill="1" applyBorder="1"/>
    <xf numFmtId="177" fontId="49" fillId="24" borderId="43" xfId="7" applyNumberFormat="1" applyFont="1" applyFill="1" applyBorder="1"/>
    <xf numFmtId="177" fontId="49" fillId="24" borderId="5" xfId="7" applyNumberFormat="1" applyFont="1" applyFill="1" applyBorder="1" applyAlignment="1">
      <alignment vertical="center"/>
    </xf>
    <xf numFmtId="0" fontId="39" fillId="0" borderId="0" xfId="7" applyFont="1" applyAlignment="1">
      <alignment horizontal="right" vertical="center"/>
    </xf>
    <xf numFmtId="177" fontId="31" fillId="21" borderId="53" xfId="8" applyNumberFormat="1" applyFont="1" applyFill="1" applyBorder="1" applyAlignment="1">
      <alignment horizontal="center" vertical="center"/>
    </xf>
    <xf numFmtId="177" fontId="31" fillId="22" borderId="13" xfId="8" applyNumberFormat="1" applyFont="1" applyFill="1" applyBorder="1" applyAlignment="1">
      <alignment horizontal="center" vertical="center"/>
    </xf>
    <xf numFmtId="177" fontId="31" fillId="22" borderId="14" xfId="8" applyNumberFormat="1" applyFont="1" applyFill="1" applyBorder="1" applyAlignment="1">
      <alignment horizontal="center" vertical="center"/>
    </xf>
    <xf numFmtId="177" fontId="31" fillId="21" borderId="13" xfId="8" applyNumberFormat="1" applyFont="1" applyFill="1" applyBorder="1" applyAlignment="1">
      <alignment horizontal="center" vertical="center"/>
    </xf>
    <xf numFmtId="177" fontId="31" fillId="21" borderId="14" xfId="8" applyNumberFormat="1" applyFont="1" applyFill="1" applyBorder="1" applyAlignment="1">
      <alignment horizontal="center" vertical="center"/>
    </xf>
    <xf numFmtId="177" fontId="31" fillId="22" borderId="53" xfId="8" applyNumberFormat="1" applyFont="1" applyFill="1" applyBorder="1" applyAlignment="1">
      <alignment horizontal="center" vertical="center"/>
    </xf>
    <xf numFmtId="177" fontId="31" fillId="21" borderId="55" xfId="8" applyNumberFormat="1" applyFont="1" applyFill="1" applyBorder="1" applyAlignment="1">
      <alignment horizontal="center" vertical="center"/>
    </xf>
    <xf numFmtId="177" fontId="31" fillId="22" borderId="18" xfId="8" applyNumberFormat="1" applyFont="1" applyFill="1" applyBorder="1" applyAlignment="1">
      <alignment horizontal="center" vertical="center"/>
    </xf>
    <xf numFmtId="177" fontId="31" fillId="22" borderId="19" xfId="8" applyNumberFormat="1" applyFont="1" applyFill="1" applyBorder="1" applyAlignment="1">
      <alignment horizontal="center" vertical="center"/>
    </xf>
    <xf numFmtId="177" fontId="31" fillId="21" borderId="18" xfId="8" applyNumberFormat="1" applyFont="1" applyFill="1" applyBorder="1" applyAlignment="1">
      <alignment horizontal="center" vertical="center"/>
    </xf>
    <xf numFmtId="177" fontId="31" fillId="21" borderId="19" xfId="8" applyNumberFormat="1" applyFont="1" applyFill="1" applyBorder="1" applyAlignment="1">
      <alignment horizontal="center" vertical="center"/>
    </xf>
    <xf numFmtId="177" fontId="31" fillId="17" borderId="55" xfId="8" applyNumberFormat="1" applyFont="1" applyFill="1" applyBorder="1" applyAlignment="1">
      <alignment horizontal="center" vertical="center"/>
    </xf>
    <xf numFmtId="177" fontId="28" fillId="21" borderId="54" xfId="8" applyNumberFormat="1" applyFont="1" applyFill="1" applyBorder="1" applyAlignment="1">
      <alignment horizontal="center" vertical="center"/>
    </xf>
    <xf numFmtId="177" fontId="28" fillId="22" borderId="54" xfId="8" applyNumberFormat="1" applyFont="1" applyFill="1" applyBorder="1" applyAlignment="1">
      <alignment horizontal="center" vertical="center"/>
    </xf>
    <xf numFmtId="166" fontId="31" fillId="0" borderId="0" xfId="8" applyNumberFormat="1" applyFont="1" applyFill="1" applyBorder="1" applyAlignment="1"/>
    <xf numFmtId="0" fontId="28" fillId="20" borderId="40" xfId="7" applyFont="1" applyFill="1" applyBorder="1" applyAlignment="1">
      <alignment horizontal="left"/>
    </xf>
    <xf numFmtId="0" fontId="28" fillId="20" borderId="41" xfId="7" applyFont="1" applyFill="1" applyBorder="1" applyAlignment="1">
      <alignment vertical="center"/>
    </xf>
    <xf numFmtId="0" fontId="30" fillId="20" borderId="41" xfId="7" applyFont="1" applyFill="1" applyBorder="1" applyAlignment="1">
      <alignment horizontal="center" vertical="center"/>
    </xf>
    <xf numFmtId="0" fontId="30" fillId="20" borderId="42" xfId="7" applyFont="1" applyFill="1" applyBorder="1" applyAlignment="1">
      <alignment horizontal="center" vertical="center"/>
    </xf>
    <xf numFmtId="0" fontId="39" fillId="0" borderId="0" xfId="7" applyFont="1"/>
    <xf numFmtId="0" fontId="32" fillId="0" borderId="45" xfId="7" applyFont="1" applyBorder="1" applyAlignment="1">
      <alignment vertical="center"/>
    </xf>
    <xf numFmtId="175" fontId="31" fillId="0" borderId="45" xfId="7" applyNumberFormat="1" applyFont="1" applyBorder="1" applyAlignment="1">
      <alignment horizontal="center" vertical="center"/>
    </xf>
    <xf numFmtId="177" fontId="28" fillId="0" borderId="45" xfId="7" applyNumberFormat="1" applyFont="1" applyBorder="1" applyAlignment="1">
      <alignment horizontal="right" vertical="center"/>
    </xf>
    <xf numFmtId="179" fontId="24" fillId="0" borderId="46" xfId="7" applyNumberFormat="1" applyBorder="1" applyAlignment="1">
      <alignment vertical="center"/>
    </xf>
    <xf numFmtId="0" fontId="39" fillId="0" borderId="36" xfId="7" applyFont="1" applyBorder="1" applyAlignment="1">
      <alignment horizontal="right" vertical="center"/>
    </xf>
    <xf numFmtId="0" fontId="39" fillId="0" borderId="0" xfId="7" applyFont="1" applyAlignment="1">
      <alignment horizontal="center" vertical="center"/>
    </xf>
    <xf numFmtId="0" fontId="31" fillId="0" borderId="18" xfId="7" applyFont="1" applyBorder="1" applyAlignment="1">
      <alignment horizontal="left" indent="2"/>
    </xf>
    <xf numFmtId="9" fontId="32" fillId="0" borderId="16" xfId="7" applyNumberFormat="1" applyFont="1" applyBorder="1" applyAlignment="1">
      <alignment vertical="center"/>
    </xf>
    <xf numFmtId="9" fontId="32" fillId="0" borderId="16" xfId="7" applyNumberFormat="1" applyFont="1" applyBorder="1" applyAlignment="1">
      <alignment horizontal="center" vertical="center"/>
    </xf>
    <xf numFmtId="170" fontId="24" fillId="0" borderId="16" xfId="7" applyNumberFormat="1" applyBorder="1" applyAlignment="1">
      <alignment horizontal="center" vertical="center"/>
    </xf>
    <xf numFmtId="177" fontId="24" fillId="0" borderId="16" xfId="7" applyNumberFormat="1" applyBorder="1"/>
    <xf numFmtId="180" fontId="24" fillId="16" borderId="19" xfId="7" applyNumberFormat="1" applyFill="1" applyBorder="1" applyAlignment="1">
      <alignment vertical="center"/>
    </xf>
    <xf numFmtId="0" fontId="39" fillId="0" borderId="36" xfId="7" applyFont="1" applyBorder="1" applyAlignment="1">
      <alignment vertical="center"/>
    </xf>
    <xf numFmtId="177" fontId="28" fillId="0" borderId="0" xfId="7" applyNumberFormat="1" applyFont="1" applyAlignment="1">
      <alignment horizontal="center" vertical="center"/>
    </xf>
    <xf numFmtId="9" fontId="28" fillId="0" borderId="0" xfId="7" applyNumberFormat="1" applyFont="1" applyAlignment="1">
      <alignment horizontal="center" vertical="center"/>
    </xf>
    <xf numFmtId="177" fontId="31" fillId="0" borderId="0" xfId="7" applyNumberFormat="1" applyFont="1" applyAlignment="1">
      <alignment horizontal="center" vertical="center"/>
    </xf>
    <xf numFmtId="0" fontId="31" fillId="0" borderId="47" xfId="7" applyFont="1" applyBorder="1" applyAlignment="1">
      <alignment horizontal="left" indent="2"/>
    </xf>
    <xf numFmtId="9" fontId="32" fillId="0" borderId="48" xfId="7" applyNumberFormat="1" applyFont="1" applyBorder="1" applyAlignment="1">
      <alignment vertical="center"/>
    </xf>
    <xf numFmtId="170" fontId="24" fillId="0" borderId="48" xfId="7" applyNumberFormat="1" applyBorder="1" applyAlignment="1">
      <alignment horizontal="center" vertical="center"/>
    </xf>
    <xf numFmtId="177" fontId="24" fillId="0" borderId="48" xfId="7" applyNumberFormat="1" applyBorder="1"/>
    <xf numFmtId="180" fontId="29" fillId="0" borderId="49" xfId="7" applyNumberFormat="1" applyFont="1" applyBorder="1" applyAlignment="1">
      <alignment horizontal="right" vertical="center"/>
    </xf>
    <xf numFmtId="177" fontId="31" fillId="2" borderId="53" xfId="7" applyNumberFormat="1" applyFont="1" applyFill="1" applyBorder="1"/>
    <xf numFmtId="177" fontId="31" fillId="2" borderId="13" xfId="7" applyNumberFormat="1" applyFont="1" applyFill="1" applyBorder="1"/>
    <xf numFmtId="177" fontId="31" fillId="2" borderId="14" xfId="7" applyNumberFormat="1" applyFont="1" applyFill="1" applyBorder="1"/>
    <xf numFmtId="177" fontId="31" fillId="2" borderId="14" xfId="8" applyNumberFormat="1" applyFont="1" applyFill="1" applyBorder="1"/>
    <xf numFmtId="177" fontId="31" fillId="2" borderId="13" xfId="8" applyNumberFormat="1" applyFont="1" applyFill="1" applyBorder="1"/>
    <xf numFmtId="177" fontId="24" fillId="2" borderId="14" xfId="8" applyNumberFormat="1" applyFont="1" applyFill="1" applyBorder="1"/>
    <xf numFmtId="177" fontId="24" fillId="2" borderId="13" xfId="8" applyNumberFormat="1" applyFont="1" applyFill="1" applyBorder="1"/>
    <xf numFmtId="177" fontId="24" fillId="2" borderId="53" xfId="8" applyNumberFormat="1" applyFont="1" applyFill="1" applyBorder="1"/>
    <xf numFmtId="0" fontId="31" fillId="0" borderId="45" xfId="7" applyFont="1" applyBorder="1" applyAlignment="1">
      <alignment horizontal="center" vertical="center"/>
    </xf>
    <xf numFmtId="9" fontId="32" fillId="0" borderId="45" xfId="7" applyNumberFormat="1" applyFont="1" applyBorder="1" applyAlignment="1">
      <alignment vertical="center"/>
    </xf>
    <xf numFmtId="2" fontId="24" fillId="0" borderId="45" xfId="7" applyNumberFormat="1" applyBorder="1" applyAlignment="1">
      <alignment horizontal="center" vertical="center"/>
    </xf>
    <xf numFmtId="166" fontId="24" fillId="0" borderId="45" xfId="7" applyNumberFormat="1" applyBorder="1" applyAlignment="1">
      <alignment horizontal="right" vertical="center"/>
    </xf>
    <xf numFmtId="0" fontId="39" fillId="0" borderId="0" xfId="7" applyFont="1" applyAlignment="1">
      <alignment horizontal="right"/>
    </xf>
    <xf numFmtId="177" fontId="31" fillId="2" borderId="55" xfId="8" applyNumberFormat="1" applyFont="1" applyFill="1" applyBorder="1"/>
    <xf numFmtId="177" fontId="31" fillId="2" borderId="18" xfId="8" applyNumberFormat="1" applyFont="1" applyFill="1" applyBorder="1"/>
    <xf numFmtId="177" fontId="31" fillId="2" borderId="19" xfId="8" applyNumberFormat="1" applyFont="1" applyFill="1" applyBorder="1"/>
    <xf numFmtId="177" fontId="31" fillId="2" borderId="18" xfId="7" applyNumberFormat="1" applyFont="1" applyFill="1" applyBorder="1"/>
    <xf numFmtId="177" fontId="31" fillId="2" borderId="19" xfId="7" applyNumberFormat="1" applyFont="1" applyFill="1" applyBorder="1"/>
    <xf numFmtId="177" fontId="24" fillId="2" borderId="19" xfId="7" applyNumberFormat="1" applyFill="1" applyBorder="1"/>
    <xf numFmtId="177" fontId="24" fillId="2" borderId="18" xfId="7" applyNumberFormat="1" applyFill="1" applyBorder="1"/>
    <xf numFmtId="177" fontId="24" fillId="2" borderId="55" xfId="7" applyNumberFormat="1" applyFill="1" applyBorder="1"/>
    <xf numFmtId="166" fontId="24" fillId="0" borderId="16" xfId="7" applyNumberFormat="1" applyBorder="1" applyAlignment="1">
      <alignment horizontal="right" vertical="center"/>
    </xf>
    <xf numFmtId="177" fontId="24" fillId="9" borderId="55" xfId="7" applyNumberFormat="1" applyFill="1" applyBorder="1"/>
    <xf numFmtId="177" fontId="24" fillId="9" borderId="18" xfId="7" applyNumberFormat="1" applyFill="1" applyBorder="1"/>
    <xf numFmtId="177" fontId="24" fillId="9" borderId="19" xfId="7" applyNumberFormat="1" applyFill="1" applyBorder="1"/>
    <xf numFmtId="0" fontId="24" fillId="0" borderId="47" xfId="7" applyBorder="1" applyAlignment="1">
      <alignment vertical="center"/>
    </xf>
    <xf numFmtId="9" fontId="24" fillId="0" borderId="48" xfId="7" applyNumberFormat="1" applyBorder="1" applyAlignment="1">
      <alignment vertical="center"/>
    </xf>
    <xf numFmtId="175" fontId="24" fillId="0" borderId="48" xfId="7" applyNumberFormat="1" applyBorder="1" applyAlignment="1">
      <alignment horizontal="center" vertical="center"/>
    </xf>
    <xf numFmtId="166" fontId="24" fillId="0" borderId="48" xfId="7" applyNumberFormat="1" applyBorder="1" applyAlignment="1">
      <alignment horizontal="right" vertical="center"/>
    </xf>
    <xf numFmtId="42" fontId="29" fillId="0" borderId="49" xfId="7" applyNumberFormat="1" applyFont="1" applyBorder="1" applyAlignment="1">
      <alignment horizontal="center" vertical="center"/>
    </xf>
    <xf numFmtId="0" fontId="50" fillId="0" borderId="0" xfId="7" applyFont="1" applyAlignment="1">
      <alignment horizontal="right"/>
    </xf>
    <xf numFmtId="177" fontId="28" fillId="21" borderId="9" xfId="7" applyNumberFormat="1" applyFont="1" applyFill="1" applyBorder="1"/>
    <xf numFmtId="177" fontId="28" fillId="17" borderId="54" xfId="7" applyNumberFormat="1" applyFont="1" applyFill="1" applyBorder="1"/>
    <xf numFmtId="166" fontId="28" fillId="0" borderId="0" xfId="7" applyNumberFormat="1" applyFont="1"/>
    <xf numFmtId="0" fontId="28" fillId="20" borderId="72" xfId="7" applyFont="1" applyFill="1" applyBorder="1" applyAlignment="1">
      <alignment vertical="center"/>
    </xf>
    <xf numFmtId="0" fontId="24" fillId="20" borderId="81" xfId="7" applyFill="1" applyBorder="1" applyAlignment="1">
      <alignment vertical="center"/>
    </xf>
    <xf numFmtId="9" fontId="24" fillId="20" borderId="73" xfId="7" applyNumberFormat="1" applyFill="1" applyBorder="1" applyAlignment="1">
      <alignment horizontal="right" vertical="center"/>
    </xf>
    <xf numFmtId="0" fontId="28" fillId="0" borderId="33" xfId="7" applyFont="1" applyBorder="1" applyAlignment="1">
      <alignment vertical="center"/>
    </xf>
    <xf numFmtId="3" fontId="48" fillId="0" borderId="34" xfId="7" applyNumberFormat="1" applyFont="1" applyBorder="1" applyAlignment="1">
      <alignment horizontal="left" vertical="center"/>
    </xf>
    <xf numFmtId="42" fontId="28" fillId="23" borderId="35" xfId="7" applyNumberFormat="1" applyFont="1" applyFill="1" applyBorder="1" applyAlignment="1">
      <alignment horizontal="center" vertical="center"/>
    </xf>
    <xf numFmtId="3" fontId="48" fillId="0" borderId="0" xfId="7" applyNumberFormat="1" applyFont="1" applyAlignment="1">
      <alignment horizontal="left" vertical="center"/>
    </xf>
    <xf numFmtId="0" fontId="28" fillId="0" borderId="77" xfId="7" applyFont="1" applyBorder="1" applyAlignment="1">
      <alignment vertical="center"/>
    </xf>
    <xf numFmtId="0" fontId="24" fillId="0" borderId="78" xfId="7" applyBorder="1" applyAlignment="1">
      <alignment vertical="center"/>
    </xf>
    <xf numFmtId="3" fontId="48" fillId="0" borderId="78" xfId="7" applyNumberFormat="1" applyFont="1" applyBorder="1" applyAlignment="1">
      <alignment horizontal="left" vertical="center"/>
    </xf>
    <xf numFmtId="175" fontId="28" fillId="23" borderId="79" xfId="10" applyNumberFormat="1" applyFont="1" applyFill="1" applyBorder="1" applyAlignment="1">
      <alignment horizontal="right" vertical="center"/>
    </xf>
    <xf numFmtId="175" fontId="29" fillId="0" borderId="37" xfId="10" applyNumberFormat="1" applyFont="1" applyFill="1" applyBorder="1" applyAlignment="1">
      <alignment horizontal="right" vertical="center"/>
    </xf>
    <xf numFmtId="0" fontId="28" fillId="20" borderId="57" xfId="7" applyFont="1" applyFill="1" applyBorder="1" applyAlignment="1">
      <alignment horizontal="left"/>
    </xf>
    <xf numFmtId="0" fontId="30" fillId="20" borderId="64" xfId="7" applyFont="1" applyFill="1" applyBorder="1" applyAlignment="1">
      <alignment horizontal="center" vertical="center"/>
    </xf>
    <xf numFmtId="176" fontId="24" fillId="21" borderId="53" xfId="7" applyNumberFormat="1" applyFill="1" applyBorder="1"/>
    <xf numFmtId="176" fontId="24" fillId="22" borderId="13" xfId="7" applyNumberFormat="1" applyFill="1" applyBorder="1"/>
    <xf numFmtId="176" fontId="24" fillId="22" borderId="14" xfId="7" applyNumberFormat="1" applyFill="1" applyBorder="1"/>
    <xf numFmtId="176" fontId="24" fillId="21" borderId="13" xfId="7" applyNumberFormat="1" applyFill="1" applyBorder="1"/>
    <xf numFmtId="176" fontId="24" fillId="21" borderId="14" xfId="7" applyNumberFormat="1" applyFill="1" applyBorder="1"/>
    <xf numFmtId="176" fontId="24" fillId="22" borderId="53" xfId="7" applyNumberFormat="1" applyFill="1" applyBorder="1"/>
    <xf numFmtId="168" fontId="24" fillId="0" borderId="45" xfId="7" applyNumberFormat="1" applyBorder="1" applyAlignment="1">
      <alignment horizontal="right" vertical="center"/>
    </xf>
    <xf numFmtId="166" fontId="31" fillId="0" borderId="45" xfId="8" applyNumberFormat="1" applyFont="1" applyFill="1" applyBorder="1" applyAlignment="1">
      <alignment horizontal="center" vertical="center"/>
    </xf>
    <xf numFmtId="168" fontId="24" fillId="0" borderId="16" xfId="7" applyNumberFormat="1" applyBorder="1" applyAlignment="1">
      <alignment horizontal="right" vertical="center"/>
    </xf>
    <xf numFmtId="166" fontId="31" fillId="0" borderId="16" xfId="8" applyNumberFormat="1" applyFont="1" applyFill="1" applyBorder="1" applyAlignment="1">
      <alignment horizontal="center" vertical="center"/>
    </xf>
    <xf numFmtId="177" fontId="31" fillId="16" borderId="19" xfId="8" applyNumberFormat="1" applyFont="1" applyFill="1" applyBorder="1" applyAlignment="1">
      <alignment horizontal="right" vertical="center"/>
    </xf>
    <xf numFmtId="0" fontId="28" fillId="0" borderId="18" xfId="7" applyFont="1" applyBorder="1" applyAlignment="1">
      <alignment vertical="center"/>
    </xf>
    <xf numFmtId="177" fontId="31" fillId="0" borderId="19" xfId="10" applyNumberFormat="1" applyFont="1" applyFill="1" applyBorder="1" applyAlignment="1">
      <alignment horizontal="right" vertical="center"/>
    </xf>
    <xf numFmtId="3" fontId="48" fillId="0" borderId="1" xfId="7" applyNumberFormat="1" applyFont="1" applyBorder="1" applyAlignment="1">
      <alignment horizontal="left" vertical="center"/>
    </xf>
    <xf numFmtId="175" fontId="28" fillId="23" borderId="39" xfId="10" applyNumberFormat="1" applyFont="1" applyFill="1" applyBorder="1" applyAlignment="1">
      <alignment horizontal="right" vertical="center"/>
    </xf>
    <xf numFmtId="176" fontId="24" fillId="21" borderId="54" xfId="7" applyNumberFormat="1" applyFill="1" applyBorder="1"/>
    <xf numFmtId="176" fontId="24" fillId="22" borderId="7" xfId="7" applyNumberFormat="1" applyFill="1" applyBorder="1"/>
    <xf numFmtId="176" fontId="24" fillId="22" borderId="9" xfId="7" applyNumberFormat="1" applyFill="1" applyBorder="1"/>
    <xf numFmtId="176" fontId="24" fillId="21" borderId="7" xfId="7" applyNumberFormat="1" applyFill="1" applyBorder="1"/>
    <xf numFmtId="176" fontId="24" fillId="21" borderId="9" xfId="7" applyNumberFormat="1" applyFill="1" applyBorder="1"/>
    <xf numFmtId="176" fontId="24" fillId="22" borderId="54" xfId="7" applyNumberFormat="1" applyFill="1" applyBorder="1"/>
    <xf numFmtId="175" fontId="29" fillId="0" borderId="0" xfId="10" applyNumberFormat="1" applyFont="1" applyFill="1" applyBorder="1" applyAlignment="1">
      <alignment horizontal="right" vertical="center"/>
    </xf>
    <xf numFmtId="3" fontId="24" fillId="0" borderId="1" xfId="7" applyNumberFormat="1" applyBorder="1" applyAlignment="1">
      <alignment horizontal="right" vertical="center"/>
    </xf>
    <xf numFmtId="42" fontId="24" fillId="0" borderId="1" xfId="7" applyNumberFormat="1" applyBorder="1" applyAlignment="1">
      <alignment horizontal="center" vertical="center"/>
    </xf>
    <xf numFmtId="177" fontId="29" fillId="21" borderId="53" xfId="7" applyNumberFormat="1" applyFont="1" applyFill="1" applyBorder="1" applyAlignment="1">
      <alignment horizontal="center" vertical="center"/>
    </xf>
    <xf numFmtId="177" fontId="29" fillId="22" borderId="13" xfId="7" applyNumberFormat="1" applyFont="1" applyFill="1" applyBorder="1" applyAlignment="1">
      <alignment horizontal="center" vertical="center"/>
    </xf>
    <xf numFmtId="177" fontId="29" fillId="22" borderId="14" xfId="7" applyNumberFormat="1" applyFont="1" applyFill="1" applyBorder="1" applyAlignment="1">
      <alignment horizontal="center" vertical="center"/>
    </xf>
    <xf numFmtId="177" fontId="29" fillId="21" borderId="13" xfId="7" applyNumberFormat="1" applyFont="1" applyFill="1" applyBorder="1" applyAlignment="1">
      <alignment horizontal="center" vertical="center"/>
    </xf>
    <xf numFmtId="177" fontId="29" fillId="21" borderId="14" xfId="7" applyNumberFormat="1" applyFont="1" applyFill="1" applyBorder="1" applyAlignment="1">
      <alignment horizontal="center" vertical="center"/>
    </xf>
    <xf numFmtId="177" fontId="29" fillId="22" borderId="53" xfId="7" applyNumberFormat="1" applyFont="1" applyFill="1" applyBorder="1" applyAlignment="1">
      <alignment horizontal="center" vertical="center"/>
    </xf>
    <xf numFmtId="0" fontId="35" fillId="0" borderId="0" xfId="7" applyFont="1" applyAlignment="1">
      <alignment horizontal="right"/>
    </xf>
    <xf numFmtId="177" fontId="24" fillId="21" borderId="54" xfId="7" applyNumberFormat="1" applyFill="1" applyBorder="1" applyAlignment="1">
      <alignment horizontal="center"/>
    </xf>
    <xf numFmtId="177" fontId="24" fillId="22" borderId="7" xfId="7" applyNumberFormat="1" applyFill="1" applyBorder="1" applyAlignment="1">
      <alignment horizontal="center"/>
    </xf>
    <xf numFmtId="177" fontId="24" fillId="22" borderId="9" xfId="7" applyNumberFormat="1" applyFill="1" applyBorder="1" applyAlignment="1">
      <alignment horizontal="center"/>
    </xf>
    <xf numFmtId="177" fontId="24" fillId="21" borderId="7" xfId="7" applyNumberFormat="1" applyFill="1" applyBorder="1" applyAlignment="1">
      <alignment horizontal="center"/>
    </xf>
    <xf numFmtId="177" fontId="24" fillId="21" borderId="9" xfId="7" applyNumberFormat="1" applyFill="1" applyBorder="1" applyAlignment="1">
      <alignment horizontal="center"/>
    </xf>
    <xf numFmtId="177" fontId="28" fillId="17" borderId="54" xfId="7" applyNumberFormat="1" applyFont="1" applyFill="1" applyBorder="1" applyAlignment="1">
      <alignment horizontal="center"/>
    </xf>
    <xf numFmtId="177" fontId="24" fillId="0" borderId="0" xfId="7" applyNumberFormat="1" applyAlignment="1">
      <alignment horizontal="left"/>
    </xf>
    <xf numFmtId="3" fontId="32" fillId="2" borderId="83" xfId="7" applyNumberFormat="1" applyFont="1" applyFill="1" applyBorder="1" applyAlignment="1">
      <alignment horizontal="center" vertical="center"/>
    </xf>
    <xf numFmtId="180" fontId="29" fillId="2" borderId="84" xfId="7" applyNumberFormat="1" applyFont="1" applyFill="1" applyBorder="1" applyAlignment="1">
      <alignment horizontal="center"/>
    </xf>
    <xf numFmtId="3" fontId="32" fillId="2" borderId="86" xfId="7" applyNumberFormat="1" applyFont="1" applyFill="1" applyBorder="1" applyAlignment="1">
      <alignment horizontal="center" vertical="center"/>
    </xf>
    <xf numFmtId="180" fontId="29" fillId="2" borderId="87" xfId="7" applyNumberFormat="1" applyFont="1" applyFill="1" applyBorder="1" applyAlignment="1">
      <alignment horizontal="center"/>
    </xf>
    <xf numFmtId="177" fontId="24" fillId="2" borderId="89" xfId="7" applyNumberFormat="1" applyFill="1" applyBorder="1" applyAlignment="1">
      <alignment horizontal="center" vertical="center"/>
    </xf>
    <xf numFmtId="180" fontId="28" fillId="2" borderId="90" xfId="7" applyNumberFormat="1" applyFont="1" applyFill="1" applyBorder="1" applyAlignment="1">
      <alignment vertical="center"/>
    </xf>
    <xf numFmtId="177" fontId="24" fillId="0" borderId="0" xfId="7" applyNumberFormat="1" applyAlignment="1">
      <alignment horizontal="center" vertical="center"/>
    </xf>
    <xf numFmtId="180" fontId="28" fillId="0" borderId="0" xfId="7" applyNumberFormat="1" applyFont="1" applyAlignment="1">
      <alignment vertical="center"/>
    </xf>
    <xf numFmtId="177" fontId="24" fillId="0" borderId="0" xfId="7" applyNumberFormat="1" applyAlignment="1">
      <alignment vertical="center"/>
    </xf>
    <xf numFmtId="180" fontId="24" fillId="0" borderId="0" xfId="7" applyNumberFormat="1"/>
    <xf numFmtId="175" fontId="0" fillId="0" borderId="0" xfId="10" applyNumberFormat="1" applyFont="1"/>
    <xf numFmtId="175" fontId="28" fillId="0" borderId="0" xfId="10" applyNumberFormat="1" applyFont="1" applyAlignment="1"/>
    <xf numFmtId="166" fontId="33" fillId="0" borderId="13" xfId="8" applyNumberFormat="1" applyFont="1" applyBorder="1" applyAlignment="1">
      <alignment horizontal="center"/>
    </xf>
    <xf numFmtId="175" fontId="33" fillId="0" borderId="11" xfId="10" applyNumberFormat="1" applyFont="1" applyBorder="1" applyAlignment="1">
      <alignment horizontal="center"/>
    </xf>
    <xf numFmtId="165" fontId="33" fillId="0" borderId="11" xfId="7" applyNumberFormat="1" applyFont="1" applyBorder="1" applyAlignment="1">
      <alignment horizontal="center"/>
    </xf>
    <xf numFmtId="0" fontId="24" fillId="0" borderId="44" xfId="7" applyBorder="1" applyAlignment="1">
      <alignment horizontal="left" indent="1"/>
    </xf>
    <xf numFmtId="168" fontId="24" fillId="0" borderId="45" xfId="7" applyNumberFormat="1" applyBorder="1" applyAlignment="1">
      <alignment vertical="center"/>
    </xf>
    <xf numFmtId="166" fontId="24" fillId="0" borderId="45" xfId="8" applyNumberFormat="1" applyFont="1" applyFill="1" applyBorder="1" applyAlignment="1">
      <alignment vertical="center"/>
    </xf>
    <xf numFmtId="166" fontId="24" fillId="5" borderId="46" xfId="8" applyNumberFormat="1" applyFont="1" applyFill="1" applyBorder="1" applyAlignment="1">
      <alignment vertical="center"/>
    </xf>
    <xf numFmtId="3" fontId="24" fillId="0" borderId="0" xfId="7" applyNumberFormat="1" applyAlignment="1">
      <alignment horizontal="right"/>
    </xf>
    <xf numFmtId="1" fontId="0" fillId="0" borderId="18" xfId="9" applyNumberFormat="1" applyFont="1" applyFill="1" applyBorder="1" applyAlignment="1">
      <alignment horizontal="center"/>
    </xf>
    <xf numFmtId="166" fontId="24" fillId="0" borderId="16" xfId="7" applyNumberFormat="1" applyBorder="1" applyAlignment="1">
      <alignment horizontal="center"/>
    </xf>
    <xf numFmtId="166" fontId="0" fillId="0" borderId="16" xfId="8" applyNumberFormat="1" applyFont="1" applyFill="1" applyBorder="1" applyAlignment="1">
      <alignment horizontal="center"/>
    </xf>
    <xf numFmtId="166" fontId="28" fillId="0" borderId="19" xfId="8" applyNumberFormat="1" applyFont="1" applyBorder="1"/>
    <xf numFmtId="0" fontId="33" fillId="0" borderId="0" xfId="7" applyFont="1" applyAlignment="1">
      <alignment horizontal="center"/>
    </xf>
    <xf numFmtId="0" fontId="33" fillId="0" borderId="16" xfId="7" applyFont="1" applyBorder="1" applyAlignment="1">
      <alignment vertical="center"/>
    </xf>
    <xf numFmtId="168" fontId="24" fillId="0" borderId="16" xfId="7" applyNumberFormat="1" applyBorder="1" applyAlignment="1">
      <alignment vertical="center"/>
    </xf>
    <xf numFmtId="166" fontId="24" fillId="5" borderId="19" xfId="8" applyNumberFormat="1" applyFont="1" applyFill="1" applyBorder="1" applyAlignment="1">
      <alignment vertical="center"/>
    </xf>
    <xf numFmtId="167" fontId="0" fillId="0" borderId="18" xfId="9" applyFont="1" applyFill="1" applyBorder="1" applyAlignment="1">
      <alignment horizontal="center"/>
    </xf>
    <xf numFmtId="167" fontId="0" fillId="0" borderId="16" xfId="9" applyFont="1" applyFill="1" applyBorder="1" applyAlignment="1">
      <alignment horizontal="center"/>
    </xf>
    <xf numFmtId="166" fontId="24" fillId="0" borderId="19" xfId="7" applyNumberFormat="1" applyBorder="1" applyAlignment="1">
      <alignment horizontal="center"/>
    </xf>
    <xf numFmtId="166" fontId="0" fillId="0" borderId="0" xfId="8" applyNumberFormat="1" applyFont="1" applyFill="1" applyAlignment="1">
      <alignment horizontal="center"/>
    </xf>
    <xf numFmtId="176" fontId="24" fillId="0" borderId="0" xfId="7" applyNumberFormat="1"/>
    <xf numFmtId="168" fontId="0" fillId="0" borderId="18" xfId="9" applyNumberFormat="1" applyFont="1" applyFill="1" applyBorder="1" applyAlignment="1">
      <alignment horizontal="center"/>
    </xf>
    <xf numFmtId="166" fontId="0" fillId="0" borderId="19" xfId="8" applyNumberFormat="1" applyFont="1" applyFill="1" applyBorder="1" applyAlignment="1">
      <alignment horizontal="center"/>
    </xf>
    <xf numFmtId="166" fontId="0" fillId="0" borderId="0" xfId="8" applyNumberFormat="1" applyFont="1"/>
    <xf numFmtId="42" fontId="24" fillId="0" borderId="18" xfId="7" applyNumberFormat="1" applyBorder="1" applyAlignment="1">
      <alignment horizontal="center"/>
    </xf>
    <xf numFmtId="42" fontId="24" fillId="0" borderId="16" xfId="7" applyNumberFormat="1" applyBorder="1" applyAlignment="1">
      <alignment horizontal="center"/>
    </xf>
    <xf numFmtId="166" fontId="24" fillId="5" borderId="19" xfId="7" applyNumberFormat="1" applyFill="1" applyBorder="1" applyAlignment="1">
      <alignment vertical="center"/>
    </xf>
    <xf numFmtId="1" fontId="0" fillId="0" borderId="7" xfId="9" applyNumberFormat="1" applyFont="1" applyFill="1" applyBorder="1" applyAlignment="1">
      <alignment horizontal="center"/>
    </xf>
    <xf numFmtId="166" fontId="24" fillId="0" borderId="8" xfId="7" applyNumberFormat="1" applyBorder="1" applyAlignment="1">
      <alignment horizontal="center"/>
    </xf>
    <xf numFmtId="166" fontId="0" fillId="0" borderId="8" xfId="8" applyNumberFormat="1" applyFont="1" applyFill="1" applyBorder="1" applyAlignment="1">
      <alignment horizontal="center"/>
    </xf>
    <xf numFmtId="166" fontId="28" fillId="0" borderId="9" xfId="8" applyNumberFormat="1" applyFont="1" applyBorder="1"/>
    <xf numFmtId="165" fontId="32" fillId="0" borderId="0" xfId="7" applyNumberFormat="1" applyFont="1" applyAlignment="1">
      <alignment horizontal="center"/>
    </xf>
    <xf numFmtId="170" fontId="31" fillId="0" borderId="0" xfId="9" applyNumberFormat="1" applyFont="1" applyAlignment="1"/>
    <xf numFmtId="166" fontId="24" fillId="5" borderId="19" xfId="7" applyNumberFormat="1" applyFill="1" applyBorder="1" applyAlignment="1">
      <alignment horizontal="center" vertical="center"/>
    </xf>
    <xf numFmtId="168" fontId="0" fillId="0" borderId="0" xfId="9" applyNumberFormat="1" applyFont="1" applyFill="1" applyAlignment="1">
      <alignment horizontal="center"/>
    </xf>
    <xf numFmtId="166" fontId="24" fillId="0" borderId="0" xfId="7" applyNumberFormat="1" applyAlignment="1">
      <alignment horizontal="center"/>
    </xf>
    <xf numFmtId="0" fontId="32" fillId="0" borderId="0" xfId="7" applyFont="1" applyAlignment="1">
      <alignment horizontal="center"/>
    </xf>
    <xf numFmtId="166" fontId="24" fillId="0" borderId="16" xfId="7" applyNumberFormat="1" applyBorder="1" applyAlignment="1">
      <alignment horizontal="center" vertical="center"/>
    </xf>
    <xf numFmtId="0" fontId="24" fillId="0" borderId="47" xfId="7" applyBorder="1" applyAlignment="1">
      <alignment horizontal="left" indent="1"/>
    </xf>
    <xf numFmtId="166" fontId="24" fillId="0" borderId="48" xfId="7" applyNumberFormat="1" applyBorder="1" applyAlignment="1">
      <alignment horizontal="center" vertical="center"/>
    </xf>
    <xf numFmtId="166" fontId="24" fillId="5" borderId="49" xfId="7" applyNumberFormat="1" applyFill="1" applyBorder="1" applyAlignment="1">
      <alignment horizontal="center" vertical="center"/>
    </xf>
    <xf numFmtId="3" fontId="24" fillId="0" borderId="0" xfId="7" applyNumberFormat="1" applyAlignment="1">
      <alignment horizontal="center"/>
    </xf>
    <xf numFmtId="0" fontId="28" fillId="22" borderId="72" xfId="7" applyFont="1" applyFill="1" applyBorder="1" applyAlignment="1">
      <alignment vertical="center"/>
    </xf>
    <xf numFmtId="0" fontId="24" fillId="22" borderId="73" xfId="7" applyFill="1" applyBorder="1" applyAlignment="1">
      <alignment vertical="center"/>
    </xf>
    <xf numFmtId="0" fontId="24" fillId="22" borderId="73" xfId="7" applyFill="1" applyBorder="1" applyAlignment="1">
      <alignment horizontal="center" vertical="center"/>
    </xf>
    <xf numFmtId="9" fontId="24" fillId="22" borderId="73" xfId="7" applyNumberFormat="1" applyFill="1" applyBorder="1" applyAlignment="1">
      <alignment horizontal="right" vertical="center"/>
    </xf>
    <xf numFmtId="3" fontId="24" fillId="22" borderId="73" xfId="7" applyNumberFormat="1" applyFill="1" applyBorder="1" applyAlignment="1">
      <alignment horizontal="right" vertical="center"/>
    </xf>
    <xf numFmtId="42" fontId="42" fillId="22" borderId="59" xfId="7" applyNumberFormat="1" applyFont="1" applyFill="1" applyBorder="1" applyAlignment="1">
      <alignment horizontal="center" vertical="center"/>
    </xf>
    <xf numFmtId="0" fontId="28" fillId="0" borderId="0" xfId="7" applyFont="1" applyAlignment="1">
      <alignment wrapText="1"/>
    </xf>
    <xf numFmtId="166" fontId="28" fillId="0" borderId="0" xfId="8" applyNumberFormat="1" applyFont="1" applyAlignment="1">
      <alignment horizontal="center" vertical="center"/>
    </xf>
    <xf numFmtId="42" fontId="29" fillId="0" borderId="35" xfId="7" applyNumberFormat="1" applyFont="1" applyBorder="1" applyAlignment="1">
      <alignment horizontal="center" vertical="center"/>
    </xf>
    <xf numFmtId="166" fontId="28" fillId="0" borderId="0" xfId="8" applyNumberFormat="1" applyFont="1"/>
    <xf numFmtId="42" fontId="29" fillId="0" borderId="39" xfId="7" applyNumberFormat="1" applyFont="1" applyBorder="1" applyAlignment="1">
      <alignment horizontal="center" vertical="center"/>
    </xf>
    <xf numFmtId="0" fontId="24" fillId="0" borderId="93" xfId="7" applyBorder="1" applyAlignment="1">
      <alignment vertical="center"/>
    </xf>
    <xf numFmtId="42" fontId="24" fillId="0" borderId="94" xfId="7" applyNumberFormat="1" applyBorder="1" applyAlignment="1">
      <alignment horizontal="center" vertical="center"/>
    </xf>
    <xf numFmtId="42" fontId="24" fillId="5" borderId="46" xfId="7" applyNumberFormat="1" applyFill="1" applyBorder="1" applyAlignment="1">
      <alignment horizontal="center" vertical="center"/>
    </xf>
    <xf numFmtId="42" fontId="24" fillId="5" borderId="19" xfId="7" applyNumberFormat="1" applyFill="1" applyBorder="1" applyAlignment="1">
      <alignment horizontal="center" vertical="center"/>
    </xf>
    <xf numFmtId="42" fontId="24" fillId="5" borderId="49" xfId="7" applyNumberFormat="1" applyFill="1" applyBorder="1" applyAlignment="1">
      <alignment horizontal="center" vertical="center"/>
    </xf>
    <xf numFmtId="42" fontId="29" fillId="22" borderId="59" xfId="7" applyNumberFormat="1" applyFont="1" applyFill="1" applyBorder="1" applyAlignment="1">
      <alignment horizontal="center" vertical="center"/>
    </xf>
    <xf numFmtId="42" fontId="29" fillId="0" borderId="37" xfId="7" applyNumberFormat="1" applyFont="1" applyBorder="1" applyAlignment="1">
      <alignment horizontal="center" vertical="center"/>
    </xf>
    <xf numFmtId="175" fontId="29" fillId="0" borderId="39" xfId="10" applyNumberFormat="1" applyFont="1" applyFill="1" applyBorder="1" applyAlignment="1">
      <alignment horizontal="right" vertical="center"/>
    </xf>
    <xf numFmtId="0" fontId="28" fillId="0" borderId="93" xfId="7" applyFont="1" applyBorder="1" applyAlignment="1">
      <alignment vertical="center"/>
    </xf>
    <xf numFmtId="175" fontId="29" fillId="0" borderId="94" xfId="10" applyNumberFormat="1" applyFont="1" applyFill="1" applyBorder="1" applyAlignment="1">
      <alignment horizontal="right" vertical="center"/>
    </xf>
    <xf numFmtId="0" fontId="28" fillId="22" borderId="95" xfId="7" applyFont="1" applyFill="1" applyBorder="1" applyAlignment="1">
      <alignment vertical="center"/>
    </xf>
    <xf numFmtId="0" fontId="24" fillId="22" borderId="96" xfId="7" applyFill="1" applyBorder="1" applyAlignment="1">
      <alignment vertical="center"/>
    </xf>
    <xf numFmtId="0" fontId="24" fillId="22" borderId="96" xfId="7" applyFill="1" applyBorder="1" applyAlignment="1">
      <alignment horizontal="center" vertical="center"/>
    </xf>
    <xf numFmtId="9" fontId="24" fillId="22" borderId="96" xfId="7" applyNumberFormat="1" applyFill="1" applyBorder="1" applyAlignment="1">
      <alignment horizontal="right" vertical="center"/>
    </xf>
    <xf numFmtId="3" fontId="24" fillId="22" borderId="96" xfId="7" applyNumberFormat="1" applyFill="1" applyBorder="1" applyAlignment="1">
      <alignment horizontal="right" vertical="center"/>
    </xf>
    <xf numFmtId="42" fontId="29" fillId="22" borderId="97" xfId="7" applyNumberFormat="1" applyFont="1" applyFill="1" applyBorder="1" applyAlignment="1">
      <alignment horizontal="center" vertical="center"/>
    </xf>
    <xf numFmtId="0" fontId="24" fillId="0" borderId="93" xfId="7" applyBorder="1"/>
    <xf numFmtId="0" fontId="24" fillId="0" borderId="94" xfId="7" applyBorder="1"/>
    <xf numFmtId="180" fontId="27" fillId="0" borderId="94" xfId="7" applyNumberFormat="1" applyFont="1" applyBorder="1" applyAlignment="1">
      <alignment horizontal="center" vertical="center"/>
    </xf>
    <xf numFmtId="3" fontId="32" fillId="21" borderId="45" xfId="7" applyNumberFormat="1" applyFont="1" applyFill="1" applyBorder="1" applyAlignment="1">
      <alignment horizontal="center" vertical="center"/>
    </xf>
    <xf numFmtId="180" fontId="29" fillId="21" borderId="100" xfId="7" applyNumberFormat="1" applyFont="1" applyFill="1" applyBorder="1" applyAlignment="1">
      <alignment horizontal="center"/>
    </xf>
    <xf numFmtId="0" fontId="24" fillId="0" borderId="101" xfId="7" applyBorder="1"/>
    <xf numFmtId="0" fontId="24" fillId="0" borderId="78" xfId="7" applyBorder="1"/>
    <xf numFmtId="3" fontId="32" fillId="21" borderId="48" xfId="7" applyNumberFormat="1" applyFont="1" applyFill="1" applyBorder="1" applyAlignment="1">
      <alignment horizontal="center" vertical="center"/>
    </xf>
    <xf numFmtId="180" fontId="29" fillId="21" borderId="103" xfId="7" applyNumberFormat="1" applyFont="1" applyFill="1" applyBorder="1" applyAlignment="1">
      <alignment horizontal="center"/>
    </xf>
    <xf numFmtId="0" fontId="42" fillId="7" borderId="13" xfId="7" applyFont="1" applyFill="1" applyBorder="1" applyAlignment="1">
      <alignment horizontal="left" vertical="center" indent="1"/>
    </xf>
    <xf numFmtId="0" fontId="31" fillId="7" borderId="11" xfId="7" applyFont="1" applyFill="1" applyBorder="1"/>
    <xf numFmtId="0" fontId="52" fillId="7" borderId="11" xfId="7" applyFont="1" applyFill="1" applyBorder="1" applyAlignment="1">
      <alignment vertical="center"/>
    </xf>
    <xf numFmtId="0" fontId="52" fillId="7" borderId="11" xfId="7" applyFont="1" applyFill="1" applyBorder="1" applyAlignment="1">
      <alignment horizontal="right" vertical="center"/>
    </xf>
    <xf numFmtId="177" fontId="27" fillId="7" borderId="14" xfId="7" applyNumberFormat="1" applyFont="1" applyFill="1" applyBorder="1" applyAlignment="1">
      <alignment vertical="center"/>
    </xf>
    <xf numFmtId="0" fontId="24" fillId="0" borderId="18" xfId="7" applyBorder="1"/>
    <xf numFmtId="0" fontId="24" fillId="0" borderId="16" xfId="7" applyBorder="1" applyAlignment="1">
      <alignment horizontal="center"/>
    </xf>
    <xf numFmtId="175" fontId="24" fillId="0" borderId="19" xfId="7" applyNumberFormat="1" applyBorder="1"/>
    <xf numFmtId="175" fontId="0" fillId="0" borderId="19" xfId="10" applyNumberFormat="1" applyFont="1" applyBorder="1"/>
    <xf numFmtId="0" fontId="24" fillId="0" borderId="47" xfId="7" applyBorder="1"/>
    <xf numFmtId="0" fontId="24" fillId="0" borderId="48" xfId="7" applyBorder="1" applyAlignment="1">
      <alignment horizontal="center"/>
    </xf>
    <xf numFmtId="9" fontId="0" fillId="0" borderId="49" xfId="10" applyFont="1" applyBorder="1"/>
    <xf numFmtId="0" fontId="24" fillId="0" borderId="36" xfId="7" applyBorder="1"/>
    <xf numFmtId="3" fontId="32" fillId="2" borderId="68" xfId="7" applyNumberFormat="1" applyFont="1" applyFill="1" applyBorder="1" applyAlignment="1">
      <alignment horizontal="center" vertical="center"/>
    </xf>
    <xf numFmtId="180" fontId="29" fillId="2" borderId="69" xfId="7" applyNumberFormat="1" applyFont="1" applyFill="1" applyBorder="1" applyAlignment="1">
      <alignment horizontal="center"/>
    </xf>
    <xf numFmtId="0" fontId="24" fillId="0" borderId="38" xfId="7" applyBorder="1"/>
    <xf numFmtId="0" fontId="24" fillId="0" borderId="1" xfId="7" applyBorder="1"/>
    <xf numFmtId="3" fontId="32" fillId="2" borderId="8" xfId="7" applyNumberFormat="1" applyFont="1" applyFill="1" applyBorder="1" applyAlignment="1">
      <alignment horizontal="center" vertical="center"/>
    </xf>
    <xf numFmtId="180" fontId="29" fillId="2" borderId="9" xfId="7" applyNumberFormat="1" applyFont="1" applyFill="1" applyBorder="1" applyAlignment="1">
      <alignment horizontal="center"/>
    </xf>
    <xf numFmtId="0" fontId="31" fillId="7" borderId="11" xfId="7" applyFont="1" applyFill="1" applyBorder="1" applyAlignment="1">
      <alignment horizontal="right"/>
    </xf>
    <xf numFmtId="177" fontId="27" fillId="7" borderId="14" xfId="7" applyNumberFormat="1" applyFont="1" applyFill="1" applyBorder="1" applyAlignment="1">
      <alignment horizontal="right" vertical="center"/>
    </xf>
    <xf numFmtId="0" fontId="31" fillId="0" borderId="16" xfId="7" applyFont="1" applyBorder="1"/>
    <xf numFmtId="0" fontId="31" fillId="0" borderId="16" xfId="7" applyFont="1" applyBorder="1" applyAlignment="1">
      <alignment horizontal="right"/>
    </xf>
    <xf numFmtId="177" fontId="31" fillId="0" borderId="19" xfId="7" applyNumberFormat="1" applyFont="1" applyBorder="1" applyAlignment="1">
      <alignment horizontal="right"/>
    </xf>
    <xf numFmtId="42" fontId="31" fillId="0" borderId="16" xfId="7" applyNumberFormat="1" applyFont="1" applyBorder="1"/>
    <xf numFmtId="166" fontId="31" fillId="0" borderId="16" xfId="8" applyNumberFormat="1" applyFont="1" applyBorder="1" applyAlignment="1">
      <alignment horizontal="right"/>
    </xf>
    <xf numFmtId="0" fontId="28" fillId="0" borderId="7" xfId="7" applyFont="1" applyBorder="1" applyAlignment="1">
      <alignment horizontal="left" indent="1"/>
    </xf>
    <xf numFmtId="0" fontId="31" fillId="0" borderId="8" xfId="7" applyFont="1" applyBorder="1"/>
    <xf numFmtId="9" fontId="28" fillId="0" borderId="8" xfId="7" applyNumberFormat="1" applyFont="1" applyBorder="1" applyAlignment="1">
      <alignment horizontal="center"/>
    </xf>
    <xf numFmtId="0" fontId="31" fillId="0" borderId="8" xfId="7" applyFont="1" applyBorder="1" applyAlignment="1">
      <alignment horizontal="right"/>
    </xf>
    <xf numFmtId="177" fontId="29" fillId="16" borderId="9" xfId="7" applyNumberFormat="1" applyFont="1" applyFill="1" applyBorder="1" applyAlignment="1">
      <alignment horizontal="right"/>
    </xf>
    <xf numFmtId="0" fontId="27" fillId="7" borderId="13" xfId="7" applyFont="1" applyFill="1" applyBorder="1" applyAlignment="1">
      <alignment horizontal="left" vertical="center" indent="1"/>
    </xf>
    <xf numFmtId="175" fontId="28" fillId="17" borderId="19" xfId="7" applyNumberFormat="1" applyFont="1" applyFill="1" applyBorder="1"/>
    <xf numFmtId="175" fontId="28" fillId="17" borderId="19" xfId="10" applyNumberFormat="1" applyFont="1" applyFill="1" applyBorder="1"/>
    <xf numFmtId="0" fontId="24" fillId="0" borderId="49" xfId="7" applyBorder="1"/>
    <xf numFmtId="9" fontId="24" fillId="0" borderId="1" xfId="7" applyNumberFormat="1" applyBorder="1"/>
    <xf numFmtId="175" fontId="24" fillId="0" borderId="0" xfId="7" applyNumberFormat="1"/>
    <xf numFmtId="166" fontId="0" fillId="0" borderId="0" xfId="8" applyNumberFormat="1" applyFont="1" applyFill="1" applyBorder="1"/>
    <xf numFmtId="168" fontId="0" fillId="0" borderId="0" xfId="9" applyNumberFormat="1" applyFont="1" applyFill="1" applyBorder="1"/>
    <xf numFmtId="168" fontId="47" fillId="0" borderId="8" xfId="9" applyNumberFormat="1" applyFont="1" applyFill="1" applyBorder="1" applyAlignment="1">
      <alignment horizontal="left"/>
    </xf>
    <xf numFmtId="168" fontId="28" fillId="0" borderId="11" xfId="7" applyNumberFormat="1" applyFont="1" applyBorder="1" applyAlignment="1">
      <alignment horizontal="center"/>
    </xf>
    <xf numFmtId="0" fontId="33" fillId="20" borderId="106" xfId="7" applyFont="1" applyFill="1" applyBorder="1" applyAlignment="1">
      <alignment horizontal="center" vertical="center"/>
    </xf>
    <xf numFmtId="0" fontId="33" fillId="20" borderId="34" xfId="7" applyFont="1" applyFill="1" applyBorder="1" applyAlignment="1">
      <alignment horizontal="center" vertical="center"/>
    </xf>
    <xf numFmtId="0" fontId="33" fillId="20" borderId="107" xfId="7" applyFont="1" applyFill="1" applyBorder="1" applyAlignment="1">
      <alignment horizontal="center" vertical="center"/>
    </xf>
    <xf numFmtId="0" fontId="24" fillId="0" borderId="99" xfId="7" applyBorder="1"/>
    <xf numFmtId="165" fontId="24" fillId="0" borderId="45" xfId="7" applyNumberFormat="1" applyBorder="1"/>
    <xf numFmtId="0" fontId="24" fillId="0" borderId="100" xfId="7" applyBorder="1"/>
    <xf numFmtId="0" fontId="53" fillId="0" borderId="16" xfId="7" applyFont="1" applyBorder="1" applyAlignment="1">
      <alignment horizontal="left" vertical="center" indent="1"/>
    </xf>
    <xf numFmtId="42" fontId="24" fillId="0" borderId="109" xfId="7" applyNumberFormat="1" applyBorder="1"/>
    <xf numFmtId="42" fontId="24" fillId="0" borderId="16" xfId="7" applyNumberFormat="1" applyBorder="1"/>
    <xf numFmtId="165" fontId="24" fillId="0" borderId="16" xfId="7" applyNumberFormat="1" applyBorder="1"/>
    <xf numFmtId="0" fontId="24" fillId="0" borderId="110" xfId="7" applyBorder="1"/>
    <xf numFmtId="0" fontId="24" fillId="0" borderId="109" xfId="7" applyBorder="1"/>
    <xf numFmtId="42" fontId="24" fillId="0" borderId="102" xfId="7" applyNumberFormat="1" applyBorder="1"/>
    <xf numFmtId="42" fontId="24" fillId="0" borderId="48" xfId="7" applyNumberFormat="1" applyBorder="1"/>
    <xf numFmtId="165" fontId="24" fillId="0" borderId="48" xfId="7" applyNumberFormat="1" applyBorder="1"/>
    <xf numFmtId="0" fontId="24" fillId="0" borderId="103" xfId="7" applyBorder="1"/>
    <xf numFmtId="42" fontId="29" fillId="20" borderId="59" xfId="7" applyNumberFormat="1" applyFont="1" applyFill="1" applyBorder="1" applyAlignment="1">
      <alignment horizontal="center" vertical="center"/>
    </xf>
    <xf numFmtId="174" fontId="24" fillId="0" borderId="0" xfId="7" applyNumberFormat="1"/>
    <xf numFmtId="0" fontId="33" fillId="0" borderId="45" xfId="7" applyFont="1" applyBorder="1" applyAlignment="1">
      <alignment horizontal="left" vertical="center"/>
    </xf>
    <xf numFmtId="177" fontId="31" fillId="0" borderId="46" xfId="10" applyNumberFormat="1" applyFont="1" applyFill="1" applyBorder="1" applyAlignment="1">
      <alignment horizontal="right" vertical="center" indent="1"/>
    </xf>
    <xf numFmtId="177" fontId="24" fillId="0" borderId="109" xfId="7" applyNumberFormat="1" applyBorder="1"/>
    <xf numFmtId="177" fontId="24" fillId="0" borderId="110" xfId="7" applyNumberFormat="1" applyBorder="1"/>
    <xf numFmtId="175" fontId="31" fillId="16" borderId="49" xfId="10" applyNumberFormat="1" applyFont="1" applyFill="1" applyBorder="1" applyAlignment="1">
      <alignment horizontal="right" vertical="center" indent="1"/>
    </xf>
    <xf numFmtId="0" fontId="24" fillId="0" borderId="102" xfId="7" applyBorder="1"/>
    <xf numFmtId="177" fontId="29" fillId="20" borderId="64" xfId="10" applyNumberFormat="1" applyFont="1" applyFill="1" applyBorder="1" applyAlignment="1">
      <alignment horizontal="right" vertical="center"/>
    </xf>
    <xf numFmtId="176" fontId="24" fillId="0" borderId="109" xfId="7" applyNumberFormat="1" applyBorder="1"/>
    <xf numFmtId="176" fontId="24" fillId="0" borderId="16" xfId="7" applyNumberFormat="1" applyBorder="1"/>
    <xf numFmtId="176" fontId="24" fillId="0" borderId="110" xfId="7" applyNumberFormat="1" applyBorder="1"/>
    <xf numFmtId="42" fontId="28" fillId="20" borderId="49" xfId="7" applyNumberFormat="1" applyFont="1" applyFill="1" applyBorder="1" applyAlignment="1">
      <alignment horizontal="center" vertical="center"/>
    </xf>
    <xf numFmtId="176" fontId="24" fillId="0" borderId="16" xfId="7" applyNumberFormat="1" applyBorder="1" applyAlignment="1">
      <alignment horizontal="center"/>
    </xf>
    <xf numFmtId="176" fontId="24" fillId="0" borderId="110" xfId="7" applyNumberFormat="1" applyBorder="1" applyAlignment="1">
      <alignment horizontal="left" indent="1"/>
    </xf>
    <xf numFmtId="176" fontId="45" fillId="0" borderId="109" xfId="7" applyNumberFormat="1" applyFont="1" applyBorder="1"/>
    <xf numFmtId="176" fontId="45" fillId="0" borderId="16" xfId="7" applyNumberFormat="1" applyFont="1" applyBorder="1"/>
    <xf numFmtId="176" fontId="31" fillId="0" borderId="16" xfId="7" applyNumberFormat="1" applyFont="1" applyBorder="1"/>
    <xf numFmtId="176" fontId="41" fillId="0" borderId="110" xfId="7" applyNumberFormat="1" applyFont="1" applyBorder="1"/>
    <xf numFmtId="0" fontId="28" fillId="0" borderId="15" xfId="7" applyFont="1" applyBorder="1" applyAlignment="1">
      <alignment horizontal="left" vertical="center" indent="1"/>
    </xf>
    <xf numFmtId="0" fontId="24" fillId="0" borderId="65" xfId="7" applyBorder="1"/>
    <xf numFmtId="10" fontId="28" fillId="0" borderId="65" xfId="9" applyNumberFormat="1" applyFont="1" applyFill="1" applyBorder="1" applyAlignment="1">
      <alignment vertical="center"/>
    </xf>
    <xf numFmtId="3" fontId="24" fillId="0" borderId="65" xfId="7" applyNumberFormat="1" applyBorder="1" applyAlignment="1">
      <alignment horizontal="right" vertical="center"/>
    </xf>
    <xf numFmtId="42" fontId="28" fillId="0" borderId="56" xfId="7" applyNumberFormat="1" applyFont="1" applyBorder="1" applyAlignment="1">
      <alignment horizontal="center" vertical="center"/>
    </xf>
    <xf numFmtId="176" fontId="24" fillId="0" borderId="111" xfId="7" applyNumberFormat="1" applyBorder="1"/>
    <xf numFmtId="176" fontId="24" fillId="0" borderId="65" xfId="7" applyNumberFormat="1" applyBorder="1"/>
    <xf numFmtId="176" fontId="24" fillId="0" borderId="112" xfId="7" applyNumberFormat="1" applyBorder="1"/>
    <xf numFmtId="176" fontId="24" fillId="0" borderId="102" xfId="7" applyNumberFormat="1" applyBorder="1"/>
    <xf numFmtId="176" fontId="24" fillId="0" borderId="48" xfId="7" applyNumberFormat="1" applyBorder="1"/>
    <xf numFmtId="176" fontId="24" fillId="0" borderId="103" xfId="7" applyNumberFormat="1" applyBorder="1"/>
    <xf numFmtId="166" fontId="0" fillId="0" borderId="99" xfId="8" applyNumberFormat="1" applyFont="1" applyFill="1" applyBorder="1"/>
    <xf numFmtId="166" fontId="0" fillId="0" borderId="45" xfId="8" applyNumberFormat="1" applyFont="1" applyFill="1" applyBorder="1"/>
    <xf numFmtId="178" fontId="24" fillId="0" borderId="109" xfId="7" applyNumberFormat="1" applyBorder="1"/>
    <xf numFmtId="178" fontId="24" fillId="0" borderId="16" xfId="7" applyNumberFormat="1" applyBorder="1"/>
    <xf numFmtId="0" fontId="47" fillId="0" borderId="72" xfId="7" applyFont="1" applyBorder="1" applyAlignment="1">
      <alignment horizontal="left" vertical="center" indent="1"/>
    </xf>
    <xf numFmtId="0" fontId="46" fillId="0" borderId="81" xfId="7" applyFont="1" applyBorder="1" applyAlignment="1">
      <alignment horizontal="left" vertical="center" indent="2"/>
    </xf>
    <xf numFmtId="0" fontId="24" fillId="0" borderId="73" xfId="7" applyBorder="1" applyAlignment="1">
      <alignment horizontal="center" vertical="center"/>
    </xf>
    <xf numFmtId="4" fontId="24" fillId="0" borderId="73" xfId="7" applyNumberFormat="1" applyBorder="1" applyAlignment="1">
      <alignment horizontal="right" vertical="center"/>
    </xf>
    <xf numFmtId="42" fontId="28" fillId="8" borderId="59" xfId="7" applyNumberFormat="1" applyFont="1" applyFill="1" applyBorder="1" applyAlignment="1">
      <alignment horizontal="center" vertical="center"/>
    </xf>
    <xf numFmtId="168" fontId="28" fillId="0" borderId="45" xfId="9" applyNumberFormat="1" applyFont="1" applyBorder="1" applyAlignment="1">
      <alignment horizontal="center"/>
    </xf>
    <xf numFmtId="178" fontId="24" fillId="16" borderId="45" xfId="7" applyNumberFormat="1" applyFill="1" applyBorder="1"/>
    <xf numFmtId="168" fontId="24" fillId="8" borderId="16" xfId="9" applyNumberFormat="1" applyFont="1" applyFill="1" applyBorder="1" applyAlignment="1">
      <alignment horizontal="center"/>
    </xf>
    <xf numFmtId="166" fontId="24" fillId="16" borderId="16" xfId="8" applyNumberFormat="1" applyFont="1" applyFill="1" applyBorder="1" applyAlignment="1">
      <alignment horizontal="right"/>
    </xf>
    <xf numFmtId="166" fontId="24" fillId="8" borderId="19" xfId="8" applyNumberFormat="1" applyFont="1" applyFill="1" applyBorder="1"/>
    <xf numFmtId="168" fontId="31" fillId="8" borderId="16" xfId="7" applyNumberFormat="1" applyFont="1" applyFill="1" applyBorder="1" applyAlignment="1">
      <alignment horizontal="left" vertical="center" indent="2"/>
    </xf>
    <xf numFmtId="166" fontId="24" fillId="16" borderId="16" xfId="7" applyNumberFormat="1" applyFill="1" applyBorder="1"/>
    <xf numFmtId="166" fontId="24" fillId="8" borderId="19" xfId="7" applyNumberFormat="1" applyFill="1" applyBorder="1" applyAlignment="1">
      <alignment horizontal="right" vertical="center"/>
    </xf>
    <xf numFmtId="166" fontId="28" fillId="8" borderId="49" xfId="7" applyNumberFormat="1" applyFont="1" applyFill="1" applyBorder="1" applyAlignment="1">
      <alignment horizontal="right" vertical="center"/>
    </xf>
    <xf numFmtId="166" fontId="24" fillId="8" borderId="78" xfId="7" applyNumberFormat="1" applyFill="1" applyBorder="1"/>
    <xf numFmtId="176" fontId="24" fillId="0" borderId="26" xfId="7" applyNumberFormat="1" applyBorder="1"/>
    <xf numFmtId="166" fontId="24" fillId="8" borderId="16" xfId="7" applyNumberFormat="1" applyFill="1" applyBorder="1"/>
    <xf numFmtId="166" fontId="31" fillId="8" borderId="19" xfId="7" applyNumberFormat="1" applyFont="1" applyFill="1" applyBorder="1" applyAlignment="1">
      <alignment horizontal="right" vertical="center"/>
    </xf>
    <xf numFmtId="166" fontId="24" fillId="8" borderId="48" xfId="7" applyNumberFormat="1" applyFill="1" applyBorder="1"/>
    <xf numFmtId="166" fontId="31" fillId="8" borderId="49" xfId="7" applyNumberFormat="1" applyFont="1" applyFill="1" applyBorder="1" applyAlignment="1">
      <alignment horizontal="right" vertical="center"/>
    </xf>
    <xf numFmtId="0" fontId="46" fillId="0" borderId="73" xfId="7" applyFont="1" applyBorder="1" applyAlignment="1">
      <alignment horizontal="left" vertical="center" indent="2"/>
    </xf>
    <xf numFmtId="166" fontId="24" fillId="8" borderId="73" xfId="7" applyNumberFormat="1" applyFill="1" applyBorder="1"/>
    <xf numFmtId="166" fontId="54" fillId="8" borderId="59" xfId="7" applyNumberFormat="1" applyFont="1" applyFill="1" applyBorder="1" applyAlignment="1">
      <alignment horizontal="right" vertical="center"/>
    </xf>
    <xf numFmtId="176" fontId="24" fillId="0" borderId="113" xfId="7" applyNumberFormat="1" applyBorder="1"/>
    <xf numFmtId="177" fontId="24" fillId="0" borderId="0" xfId="8" applyNumberFormat="1" applyFont="1" applyFill="1" applyBorder="1"/>
    <xf numFmtId="176" fontId="24" fillId="0" borderId="99" xfId="7" applyNumberFormat="1" applyBorder="1"/>
    <xf numFmtId="176" fontId="24" fillId="0" borderId="45" xfId="7" applyNumberFormat="1" applyBorder="1"/>
    <xf numFmtId="176" fontId="24" fillId="0" borderId="100" xfId="7" applyNumberFormat="1" applyBorder="1"/>
    <xf numFmtId="166" fontId="24" fillId="8" borderId="46" xfId="7" applyNumberFormat="1" applyFill="1" applyBorder="1" applyAlignment="1">
      <alignment horizontal="right" vertical="center"/>
    </xf>
    <xf numFmtId="0" fontId="33" fillId="0" borderId="48" xfId="7" applyFont="1" applyBorder="1"/>
    <xf numFmtId="177" fontId="24" fillId="0" borderId="99" xfId="7" applyNumberFormat="1" applyBorder="1"/>
    <xf numFmtId="177" fontId="24" fillId="0" borderId="45" xfId="7" applyNumberFormat="1" applyBorder="1"/>
    <xf numFmtId="177" fontId="24" fillId="0" borderId="100" xfId="7" applyNumberFormat="1" applyBorder="1"/>
    <xf numFmtId="42" fontId="24" fillId="8" borderId="46" xfId="7" applyNumberFormat="1" applyFill="1" applyBorder="1" applyAlignment="1">
      <alignment horizontal="center" vertical="center"/>
    </xf>
    <xf numFmtId="166" fontId="29" fillId="20" borderId="59" xfId="7" applyNumberFormat="1" applyFont="1" applyFill="1" applyBorder="1" applyAlignment="1">
      <alignment horizontal="left" vertical="center" indent="3"/>
    </xf>
    <xf numFmtId="177" fontId="24" fillId="0" borderId="102" xfId="7" applyNumberFormat="1" applyBorder="1"/>
    <xf numFmtId="177" fontId="24" fillId="0" borderId="103" xfId="7" applyNumberFormat="1" applyBorder="1"/>
    <xf numFmtId="177" fontId="24" fillId="0" borderId="34" xfId="7" applyNumberFormat="1" applyBorder="1"/>
    <xf numFmtId="177" fontId="28" fillId="0" borderId="99" xfId="7" applyNumberFormat="1" applyFont="1" applyBorder="1"/>
    <xf numFmtId="177" fontId="28" fillId="0" borderId="45" xfId="7" applyNumberFormat="1" applyFont="1" applyBorder="1"/>
    <xf numFmtId="177" fontId="28" fillId="0" borderId="109" xfId="7" applyNumberFormat="1" applyFont="1" applyBorder="1"/>
    <xf numFmtId="177" fontId="28" fillId="0" borderId="16" xfId="7" applyNumberFormat="1" applyFont="1" applyBorder="1"/>
    <xf numFmtId="170" fontId="24" fillId="0" borderId="16" xfId="7" applyNumberFormat="1" applyBorder="1" applyAlignment="1">
      <alignment horizontal="right" vertical="center"/>
    </xf>
    <xf numFmtId="177" fontId="28" fillId="0" borderId="102" xfId="7" applyNumberFormat="1" applyFont="1" applyBorder="1"/>
    <xf numFmtId="177" fontId="28" fillId="0" borderId="48" xfId="7" applyNumberFormat="1" applyFont="1" applyBorder="1"/>
    <xf numFmtId="177" fontId="31" fillId="0" borderId="0" xfId="7" applyNumberFormat="1" applyFont="1"/>
    <xf numFmtId="177" fontId="31" fillId="0" borderId="99" xfId="7" applyNumberFormat="1" applyFont="1" applyBorder="1"/>
    <xf numFmtId="177" fontId="31" fillId="0" borderId="45" xfId="7" applyNumberFormat="1" applyFont="1" applyBorder="1"/>
    <xf numFmtId="177" fontId="31" fillId="0" borderId="100" xfId="7" applyNumberFormat="1" applyFont="1" applyBorder="1"/>
    <xf numFmtId="177" fontId="31" fillId="0" borderId="109" xfId="7" applyNumberFormat="1" applyFont="1" applyBorder="1"/>
    <xf numFmtId="177" fontId="31" fillId="0" borderId="16" xfId="7" applyNumberFormat="1" applyFont="1" applyBorder="1"/>
    <xf numFmtId="177" fontId="31" fillId="0" borderId="110" xfId="7" applyNumberFormat="1" applyFont="1" applyBorder="1"/>
    <xf numFmtId="177" fontId="29" fillId="20" borderId="79" xfId="10" applyNumberFormat="1" applyFont="1" applyFill="1" applyBorder="1" applyAlignment="1">
      <alignment horizontal="right" vertical="center"/>
    </xf>
    <xf numFmtId="177" fontId="28" fillId="7" borderId="114" xfId="7" applyNumberFormat="1" applyFont="1" applyFill="1" applyBorder="1" applyAlignment="1">
      <alignment horizontal="center"/>
    </xf>
    <xf numFmtId="177" fontId="28" fillId="7" borderId="76" xfId="7" applyNumberFormat="1" applyFont="1" applyFill="1" applyBorder="1" applyAlignment="1">
      <alignment horizontal="center"/>
    </xf>
    <xf numFmtId="177" fontId="28" fillId="7" borderId="115" xfId="7" applyNumberFormat="1" applyFont="1" applyFill="1" applyBorder="1" applyAlignment="1">
      <alignment horizontal="center"/>
    </xf>
    <xf numFmtId="177" fontId="28" fillId="0" borderId="116" xfId="7" applyNumberFormat="1" applyFont="1" applyBorder="1" applyAlignment="1">
      <alignment horizontal="center"/>
    </xf>
    <xf numFmtId="177" fontId="28" fillId="0" borderId="117" xfId="7" applyNumberFormat="1" applyFont="1" applyBorder="1" applyAlignment="1">
      <alignment horizontal="center"/>
    </xf>
    <xf numFmtId="165" fontId="28" fillId="0" borderId="0" xfId="7" applyNumberFormat="1" applyFont="1"/>
    <xf numFmtId="42" fontId="28" fillId="0" borderId="0" xfId="7" applyNumberFormat="1" applyFont="1"/>
    <xf numFmtId="9" fontId="24" fillId="0" borderId="0" xfId="7" applyNumberFormat="1"/>
    <xf numFmtId="180" fontId="24" fillId="0" borderId="19" xfId="7" applyNumberFormat="1" applyBorder="1" applyAlignment="1">
      <alignment vertical="center"/>
    </xf>
    <xf numFmtId="0" fontId="47" fillId="0" borderId="0" xfId="7" applyFont="1"/>
    <xf numFmtId="180" fontId="28" fillId="0" borderId="49" xfId="7" applyNumberFormat="1" applyFont="1" applyBorder="1" applyAlignment="1">
      <alignment horizontal="right" vertical="center"/>
    </xf>
    <xf numFmtId="166" fontId="24" fillId="8" borderId="45" xfId="7" applyNumberFormat="1" applyFill="1" applyBorder="1" applyAlignment="1">
      <alignment horizontal="right" vertical="center"/>
    </xf>
    <xf numFmtId="0" fontId="28" fillId="20" borderId="30" xfId="7" applyFont="1" applyFill="1" applyBorder="1" applyAlignment="1">
      <alignment horizontal="left"/>
    </xf>
    <xf numFmtId="0" fontId="30" fillId="20" borderId="32" xfId="7" applyFont="1" applyFill="1" applyBorder="1" applyAlignment="1">
      <alignment horizontal="center" vertical="center"/>
    </xf>
    <xf numFmtId="177" fontId="31" fillId="0" borderId="46" xfId="10" applyNumberFormat="1" applyFont="1" applyFill="1" applyBorder="1" applyAlignment="1">
      <alignment horizontal="right" vertical="center"/>
    </xf>
    <xf numFmtId="166" fontId="31" fillId="0" borderId="19" xfId="8" applyNumberFormat="1" applyFont="1" applyFill="1" applyBorder="1" applyAlignment="1">
      <alignment horizontal="center" vertical="center"/>
    </xf>
    <xf numFmtId="3" fontId="32" fillId="2" borderId="45" xfId="7" applyNumberFormat="1" applyFont="1" applyFill="1" applyBorder="1" applyAlignment="1">
      <alignment horizontal="center" vertical="center"/>
    </xf>
    <xf numFmtId="180" fontId="29" fillId="2" borderId="100" xfId="7" applyNumberFormat="1" applyFont="1" applyFill="1" applyBorder="1" applyAlignment="1">
      <alignment horizontal="center"/>
    </xf>
    <xf numFmtId="3" fontId="32" fillId="2" borderId="48" xfId="7" applyNumberFormat="1" applyFont="1" applyFill="1" applyBorder="1" applyAlignment="1">
      <alignment horizontal="center" vertical="center"/>
    </xf>
    <xf numFmtId="180" fontId="29" fillId="2" borderId="103" xfId="7" applyNumberFormat="1" applyFont="1" applyFill="1" applyBorder="1" applyAlignment="1">
      <alignment horizontal="center"/>
    </xf>
    <xf numFmtId="0" fontId="28" fillId="22" borderId="30" xfId="7" applyFont="1" applyFill="1" applyBorder="1" applyAlignment="1">
      <alignment vertical="center"/>
    </xf>
    <xf numFmtId="0" fontId="28" fillId="22" borderId="31" xfId="7" applyFont="1" applyFill="1" applyBorder="1" applyAlignment="1">
      <alignment vertical="center"/>
    </xf>
    <xf numFmtId="0" fontId="31" fillId="22" borderId="31" xfId="7" applyFont="1" applyFill="1" applyBorder="1" applyAlignment="1">
      <alignment horizontal="center" vertical="center"/>
    </xf>
    <xf numFmtId="0" fontId="28" fillId="22" borderId="32" xfId="7" applyFont="1" applyFill="1" applyBorder="1" applyAlignment="1">
      <alignment vertical="center"/>
    </xf>
    <xf numFmtId="166" fontId="32" fillId="0" borderId="13" xfId="8" applyNumberFormat="1" applyFont="1" applyBorder="1" applyAlignment="1">
      <alignment horizontal="center"/>
    </xf>
    <xf numFmtId="175" fontId="32" fillId="0" borderId="11" xfId="10" applyNumberFormat="1" applyFont="1" applyBorder="1" applyAlignment="1">
      <alignment horizontal="center"/>
    </xf>
    <xf numFmtId="165" fontId="32" fillId="0" borderId="11" xfId="7" applyNumberFormat="1" applyFont="1" applyBorder="1" applyAlignment="1">
      <alignment horizontal="center"/>
    </xf>
    <xf numFmtId="0" fontId="32" fillId="0" borderId="14" xfId="7" applyFont="1" applyBorder="1" applyAlignment="1">
      <alignment horizontal="center"/>
    </xf>
    <xf numFmtId="172" fontId="24" fillId="16" borderId="45" xfId="8" applyNumberFormat="1" applyFont="1" applyFill="1" applyBorder="1" applyAlignment="1">
      <alignment vertical="center"/>
    </xf>
    <xf numFmtId="172" fontId="24" fillId="21" borderId="46" xfId="8" applyNumberFormat="1" applyFont="1" applyFill="1" applyBorder="1" applyAlignment="1">
      <alignment vertical="center"/>
    </xf>
    <xf numFmtId="166" fontId="24" fillId="16" borderId="16" xfId="7" applyNumberFormat="1" applyFill="1" applyBorder="1" applyAlignment="1">
      <alignment vertical="center"/>
    </xf>
    <xf numFmtId="166" fontId="24" fillId="21" borderId="19" xfId="8" applyNumberFormat="1" applyFont="1" applyFill="1" applyBorder="1" applyAlignment="1">
      <alignment vertical="center"/>
    </xf>
    <xf numFmtId="172" fontId="24" fillId="16" borderId="16" xfId="7" applyNumberFormat="1" applyFill="1" applyBorder="1" applyAlignment="1">
      <alignment vertical="center"/>
    </xf>
    <xf numFmtId="172" fontId="24" fillId="21" borderId="19" xfId="8" applyNumberFormat="1" applyFont="1" applyFill="1" applyBorder="1" applyAlignment="1">
      <alignment vertical="center"/>
    </xf>
    <xf numFmtId="166" fontId="24" fillId="21" borderId="19" xfId="7" applyNumberFormat="1" applyFill="1" applyBorder="1" applyAlignment="1">
      <alignment vertical="center"/>
    </xf>
    <xf numFmtId="166" fontId="24" fillId="21" borderId="19" xfId="7" applyNumberFormat="1" applyFill="1" applyBorder="1" applyAlignment="1">
      <alignment horizontal="center" vertical="center"/>
    </xf>
    <xf numFmtId="172" fontId="24" fillId="16" borderId="16" xfId="7" applyNumberFormat="1" applyFill="1" applyBorder="1" applyAlignment="1">
      <alignment horizontal="center" vertical="center"/>
    </xf>
    <xf numFmtId="172" fontId="24" fillId="21" borderId="19" xfId="7" applyNumberFormat="1" applyFill="1" applyBorder="1" applyAlignment="1">
      <alignment horizontal="center" vertical="center"/>
    </xf>
    <xf numFmtId="166" fontId="24" fillId="16" borderId="48" xfId="7" applyNumberFormat="1" applyFill="1" applyBorder="1" applyAlignment="1">
      <alignment horizontal="center" vertical="center"/>
    </xf>
    <xf numFmtId="166" fontId="24" fillId="21" borderId="49" xfId="7" applyNumberFormat="1" applyFill="1" applyBorder="1" applyAlignment="1">
      <alignment horizontal="center" vertical="center"/>
    </xf>
    <xf numFmtId="172" fontId="29" fillId="22" borderId="59" xfId="7" applyNumberFormat="1" applyFont="1" applyFill="1" applyBorder="1" applyAlignment="1">
      <alignment horizontal="center" vertical="center"/>
    </xf>
    <xf numFmtId="9" fontId="55" fillId="0" borderId="35" xfId="7" applyNumberFormat="1" applyFont="1" applyBorder="1" applyAlignment="1">
      <alignment horizontal="right" vertical="center"/>
    </xf>
    <xf numFmtId="172" fontId="55" fillId="0" borderId="37" xfId="7" applyNumberFormat="1" applyFont="1" applyBorder="1" applyAlignment="1">
      <alignment horizontal="center" vertical="center"/>
    </xf>
    <xf numFmtId="172" fontId="29" fillId="0" borderId="37" xfId="7" applyNumberFormat="1" applyFont="1" applyBorder="1" applyAlignment="1">
      <alignment horizontal="center" vertical="center"/>
    </xf>
    <xf numFmtId="176" fontId="29" fillId="0" borderId="37" xfId="7" applyNumberFormat="1" applyFont="1" applyBorder="1" applyAlignment="1">
      <alignment horizontal="center" vertical="center"/>
    </xf>
    <xf numFmtId="42" fontId="24" fillId="0" borderId="49" xfId="7" applyNumberFormat="1" applyBorder="1" applyAlignment="1">
      <alignment horizontal="center" vertical="center"/>
    </xf>
    <xf numFmtId="166" fontId="24" fillId="16" borderId="45" xfId="8" applyNumberFormat="1" applyFont="1" applyFill="1" applyBorder="1" applyAlignment="1">
      <alignment vertical="center"/>
    </xf>
    <xf numFmtId="166" fontId="24" fillId="21" borderId="46" xfId="8" applyNumberFormat="1" applyFont="1" applyFill="1" applyBorder="1" applyAlignment="1">
      <alignment vertical="center"/>
    </xf>
    <xf numFmtId="0" fontId="57" fillId="24" borderId="0" xfId="7" applyFont="1" applyFill="1" applyAlignment="1">
      <alignment horizontal="left" vertical="center" indent="1"/>
    </xf>
    <xf numFmtId="0" fontId="58" fillId="24" borderId="0" xfId="7" applyFont="1" applyFill="1" applyAlignment="1">
      <alignment vertical="center"/>
    </xf>
    <xf numFmtId="0" fontId="58" fillId="24" borderId="0" xfId="7" applyFont="1" applyFill="1" applyAlignment="1">
      <alignment horizontal="right" vertical="center"/>
    </xf>
    <xf numFmtId="177" fontId="57" fillId="24" borderId="0" xfId="7" applyNumberFormat="1" applyFont="1" applyFill="1" applyAlignment="1">
      <alignment vertical="center"/>
    </xf>
    <xf numFmtId="175" fontId="0" fillId="0" borderId="0" xfId="10" applyNumberFormat="1" applyFont="1" applyBorder="1"/>
    <xf numFmtId="9" fontId="0" fillId="0" borderId="0" xfId="10" applyFont="1" applyBorder="1"/>
    <xf numFmtId="0" fontId="57" fillId="24" borderId="99" xfId="7" applyFont="1" applyFill="1" applyBorder="1" applyAlignment="1">
      <alignment horizontal="left" vertical="center" indent="1"/>
    </xf>
    <xf numFmtId="0" fontId="24" fillId="24" borderId="45" xfId="7" applyFill="1" applyBorder="1"/>
    <xf numFmtId="0" fontId="24" fillId="24" borderId="45" xfId="7" applyFill="1" applyBorder="1" applyAlignment="1">
      <alignment horizontal="right"/>
    </xf>
    <xf numFmtId="0" fontId="24" fillId="0" borderId="109" xfId="7" applyBorder="1" applyAlignment="1">
      <alignment horizontal="left" indent="1"/>
    </xf>
    <xf numFmtId="0" fontId="24" fillId="0" borderId="16" xfId="7" applyBorder="1" applyAlignment="1">
      <alignment horizontal="right"/>
    </xf>
    <xf numFmtId="0" fontId="24" fillId="0" borderId="111" xfId="7" applyBorder="1" applyAlignment="1">
      <alignment horizontal="left" indent="1"/>
    </xf>
    <xf numFmtId="0" fontId="24" fillId="0" borderId="65" xfId="7" applyBorder="1" applyAlignment="1">
      <alignment horizontal="right"/>
    </xf>
    <xf numFmtId="177" fontId="24" fillId="0" borderId="112" xfId="7" applyNumberFormat="1" applyBorder="1"/>
    <xf numFmtId="0" fontId="24" fillId="0" borderId="102" xfId="7" applyBorder="1" applyAlignment="1">
      <alignment horizontal="left" indent="1"/>
    </xf>
    <xf numFmtId="9" fontId="28" fillId="0" borderId="48" xfId="7" applyNumberFormat="1" applyFont="1" applyBorder="1" applyAlignment="1">
      <alignment horizontal="center"/>
    </xf>
    <xf numFmtId="0" fontId="24" fillId="0" borderId="48" xfId="7" applyBorder="1" applyAlignment="1">
      <alignment horizontal="right"/>
    </xf>
    <xf numFmtId="175" fontId="28" fillId="17" borderId="0" xfId="7" applyNumberFormat="1" applyFont="1" applyFill="1"/>
    <xf numFmtId="175" fontId="28" fillId="17" borderId="0" xfId="10" applyNumberFormat="1" applyFont="1" applyFill="1" applyBorder="1"/>
    <xf numFmtId="166" fontId="28" fillId="0" borderId="0" xfId="8" applyNumberFormat="1" applyFont="1" applyFill="1" applyBorder="1"/>
    <xf numFmtId="166" fontId="24" fillId="16" borderId="118" xfId="8" applyNumberFormat="1" applyFont="1" applyFill="1" applyBorder="1"/>
    <xf numFmtId="166" fontId="24" fillId="16" borderId="119" xfId="8" applyNumberFormat="1" applyFont="1" applyFill="1" applyBorder="1"/>
    <xf numFmtId="166" fontId="24" fillId="16" borderId="120" xfId="8" applyNumberFormat="1" applyFont="1" applyFill="1" applyBorder="1"/>
    <xf numFmtId="166" fontId="28" fillId="16" borderId="121" xfId="8" applyNumberFormat="1" applyFont="1" applyFill="1" applyBorder="1"/>
    <xf numFmtId="166" fontId="55" fillId="16" borderId="120" xfId="8" applyNumberFormat="1" applyFont="1" applyFill="1" applyBorder="1"/>
    <xf numFmtId="177" fontId="28" fillId="16" borderId="121" xfId="7" applyNumberFormat="1" applyFont="1" applyFill="1" applyBorder="1"/>
    <xf numFmtId="176" fontId="24" fillId="16" borderId="121" xfId="10" applyNumberFormat="1" applyFont="1" applyFill="1" applyBorder="1"/>
    <xf numFmtId="0" fontId="24" fillId="16" borderId="120" xfId="7" applyFill="1" applyBorder="1"/>
    <xf numFmtId="0" fontId="24" fillId="16" borderId="121" xfId="7" applyFill="1" applyBorder="1"/>
    <xf numFmtId="166" fontId="42" fillId="16" borderId="122" xfId="8" applyNumberFormat="1" applyFont="1" applyFill="1" applyBorder="1"/>
    <xf numFmtId="177" fontId="42" fillId="16" borderId="123" xfId="7" applyNumberFormat="1" applyFont="1" applyFill="1" applyBorder="1"/>
    <xf numFmtId="0" fontId="59" fillId="0" borderId="0" xfId="0" applyFont="1"/>
    <xf numFmtId="0" fontId="60" fillId="0" borderId="0" xfId="0" applyFont="1"/>
    <xf numFmtId="0" fontId="61" fillId="0" borderId="0" xfId="0" applyFont="1"/>
    <xf numFmtId="0" fontId="9" fillId="0" borderId="0" xfId="0" applyFont="1"/>
    <xf numFmtId="0" fontId="62" fillId="0" borderId="0" xfId="0" applyFont="1"/>
    <xf numFmtId="0" fontId="63" fillId="0" borderId="0" xfId="0" applyFont="1"/>
    <xf numFmtId="0" fontId="64" fillId="0" borderId="0" xfId="0" applyFont="1"/>
    <xf numFmtId="0" fontId="59" fillId="0" borderId="0" xfId="0" applyFont="1" applyAlignment="1">
      <alignment wrapText="1"/>
    </xf>
    <xf numFmtId="0" fontId="65" fillId="0" borderId="0" xfId="0" applyFont="1" applyAlignment="1">
      <alignment vertical="top" wrapText="1"/>
    </xf>
    <xf numFmtId="0" fontId="63" fillId="0" borderId="0" xfId="0" applyFont="1" applyAlignment="1">
      <alignment wrapText="1"/>
    </xf>
    <xf numFmtId="0" fontId="63" fillId="0" borderId="0" xfId="0" applyFont="1" applyAlignment="1">
      <alignment vertical="top" wrapText="1"/>
    </xf>
    <xf numFmtId="0" fontId="63" fillId="0" borderId="0" xfId="0" applyFont="1" applyAlignment="1">
      <alignment vertical="top"/>
    </xf>
    <xf numFmtId="0" fontId="66" fillId="0" borderId="0" xfId="0" applyFont="1" applyAlignment="1">
      <alignment vertical="top"/>
    </xf>
    <xf numFmtId="0" fontId="65" fillId="0" borderId="0" xfId="0" applyFont="1" applyAlignment="1">
      <alignment vertical="top"/>
    </xf>
    <xf numFmtId="0" fontId="67" fillId="25" borderId="0" xfId="0" applyFont="1" applyFill="1"/>
    <xf numFmtId="0" fontId="67" fillId="0" borderId="0" xfId="0" applyFont="1"/>
    <xf numFmtId="0" fontId="67" fillId="25" borderId="0" xfId="0" applyFont="1" applyFill="1" applyAlignment="1">
      <alignment wrapText="1"/>
    </xf>
    <xf numFmtId="0" fontId="2" fillId="25" borderId="0" xfId="0" applyFont="1" applyFill="1"/>
    <xf numFmtId="0" fontId="0" fillId="25" borderId="0" xfId="0" applyFill="1"/>
    <xf numFmtId="0" fontId="65" fillId="0" borderId="124" xfId="0" applyFont="1" applyBorder="1"/>
    <xf numFmtId="0" fontId="66" fillId="0" borderId="124" xfId="0" applyFont="1" applyBorder="1"/>
    <xf numFmtId="0" fontId="63" fillId="26" borderId="124" xfId="0" applyFont="1" applyFill="1" applyBorder="1"/>
    <xf numFmtId="0" fontId="63" fillId="27" borderId="124" xfId="0" applyFont="1" applyFill="1" applyBorder="1"/>
    <xf numFmtId="0" fontId="63" fillId="28" borderId="124" xfId="0" applyFont="1" applyFill="1" applyBorder="1"/>
    <xf numFmtId="0" fontId="63" fillId="11" borderId="124" xfId="0" applyFont="1" applyFill="1" applyBorder="1"/>
    <xf numFmtId="0" fontId="63" fillId="29" borderId="0" xfId="0" applyFont="1" applyFill="1"/>
    <xf numFmtId="0" fontId="63" fillId="30" borderId="124" xfId="0" applyFont="1" applyFill="1" applyBorder="1"/>
    <xf numFmtId="0" fontId="68" fillId="0" borderId="124" xfId="0" applyFont="1" applyBorder="1"/>
    <xf numFmtId="3" fontId="65" fillId="0" borderId="124" xfId="0" applyNumberFormat="1" applyFont="1" applyBorder="1" applyAlignment="1">
      <alignment horizontal="right"/>
    </xf>
    <xf numFmtId="3" fontId="65" fillId="0" borderId="0" xfId="0" applyNumberFormat="1" applyFont="1" applyAlignment="1">
      <alignment horizontal="right"/>
    </xf>
    <xf numFmtId="175" fontId="63" fillId="0" borderId="124" xfId="0" applyNumberFormat="1" applyFont="1" applyBorder="1"/>
    <xf numFmtId="1" fontId="63" fillId="0" borderId="124" xfId="0" applyNumberFormat="1" applyFont="1" applyBorder="1"/>
    <xf numFmtId="181" fontId="0" fillId="0" borderId="124" xfId="0" applyNumberFormat="1" applyBorder="1"/>
    <xf numFmtId="3" fontId="0" fillId="0" borderId="0" xfId="0" applyNumberFormat="1"/>
    <xf numFmtId="3" fontId="0" fillId="0" borderId="124" xfId="0" applyNumberFormat="1" applyBorder="1"/>
    <xf numFmtId="0" fontId="0" fillId="29" borderId="0" xfId="0" applyFill="1"/>
    <xf numFmtId="0" fontId="65" fillId="0" borderId="61" xfId="0" applyFont="1" applyBorder="1"/>
    <xf numFmtId="0" fontId="65" fillId="0" borderId="0" xfId="0" applyFont="1"/>
    <xf numFmtId="3" fontId="65" fillId="0" borderId="61" xfId="0" applyNumberFormat="1" applyFont="1" applyBorder="1" applyAlignment="1">
      <alignment horizontal="right"/>
    </xf>
    <xf numFmtId="0" fontId="63" fillId="26" borderId="61" xfId="0" applyFont="1" applyFill="1" applyBorder="1"/>
    <xf numFmtId="0" fontId="63" fillId="27" borderId="61" xfId="0" applyFont="1" applyFill="1" applyBorder="1"/>
    <xf numFmtId="0" fontId="63" fillId="28" borderId="61" xfId="0" applyFont="1" applyFill="1" applyBorder="1"/>
    <xf numFmtId="0" fontId="63" fillId="11" borderId="61" xfId="0" applyFont="1" applyFill="1" applyBorder="1"/>
    <xf numFmtId="0" fontId="63" fillId="30" borderId="61" xfId="0" applyFont="1" applyFill="1" applyBorder="1"/>
    <xf numFmtId="0" fontId="68" fillId="0" borderId="61" xfId="0" applyFont="1" applyBorder="1"/>
    <xf numFmtId="175" fontId="63" fillId="0" borderId="61" xfId="0" applyNumberFormat="1" applyFont="1" applyBorder="1"/>
    <xf numFmtId="1" fontId="63" fillId="0" borderId="61" xfId="0" applyNumberFormat="1" applyFont="1" applyBorder="1"/>
    <xf numFmtId="181" fontId="0" fillId="0" borderId="61" xfId="0" applyNumberFormat="1" applyBorder="1"/>
    <xf numFmtId="3" fontId="0" fillId="0" borderId="61" xfId="0" applyNumberFormat="1" applyBorder="1"/>
    <xf numFmtId="0" fontId="65" fillId="0" borderId="125" xfId="0" applyFont="1" applyBorder="1" applyAlignment="1">
      <alignment horizontal="right"/>
    </xf>
    <xf numFmtId="3" fontId="65" fillId="0" borderId="125" xfId="0" applyNumberFormat="1" applyFont="1" applyBorder="1" applyAlignment="1">
      <alignment horizontal="right"/>
    </xf>
    <xf numFmtId="0" fontId="63" fillId="26" borderId="125" xfId="0" applyFont="1" applyFill="1" applyBorder="1"/>
    <xf numFmtId="0" fontId="63" fillId="27" borderId="125" xfId="0" applyFont="1" applyFill="1" applyBorder="1"/>
    <xf numFmtId="0" fontId="63" fillId="28" borderId="125" xfId="0" applyFont="1" applyFill="1" applyBorder="1"/>
    <xf numFmtId="0" fontId="63" fillId="11" borderId="125" xfId="0" applyFont="1" applyFill="1" applyBorder="1"/>
    <xf numFmtId="0" fontId="63" fillId="30" borderId="125" xfId="0" applyFont="1" applyFill="1" applyBorder="1"/>
    <xf numFmtId="0" fontId="68" fillId="0" borderId="125" xfId="0" applyFont="1" applyBorder="1"/>
    <xf numFmtId="175" fontId="63" fillId="0" borderId="125" xfId="0" applyNumberFormat="1" applyFont="1" applyBorder="1" applyAlignment="1">
      <alignment horizontal="right"/>
    </xf>
    <xf numFmtId="0" fontId="65" fillId="0" borderId="125" xfId="0" applyFont="1" applyBorder="1"/>
    <xf numFmtId="1" fontId="63" fillId="0" borderId="125" xfId="0" applyNumberFormat="1" applyFont="1" applyBorder="1"/>
    <xf numFmtId="181" fontId="0" fillId="0" borderId="125" xfId="0" applyNumberFormat="1" applyBorder="1"/>
    <xf numFmtId="3" fontId="0" fillId="0" borderId="125" xfId="0" applyNumberFormat="1" applyBorder="1"/>
    <xf numFmtId="0" fontId="63" fillId="0" borderId="0" xfId="0" applyFont="1" applyAlignment="1">
      <alignment horizontal="right"/>
    </xf>
    <xf numFmtId="0" fontId="68" fillId="0" borderId="0" xfId="0" applyFont="1"/>
    <xf numFmtId="1" fontId="63" fillId="0" borderId="0" xfId="0" applyNumberFormat="1" applyFont="1"/>
    <xf numFmtId="181" fontId="0" fillId="0" borderId="0" xfId="0" applyNumberFormat="1"/>
    <xf numFmtId="0" fontId="65" fillId="31" borderId="5" xfId="0" applyFont="1" applyFill="1" applyBorder="1"/>
    <xf numFmtId="3" fontId="65" fillId="31" borderId="5" xfId="0" applyNumberFormat="1" applyFont="1" applyFill="1" applyBorder="1" applyAlignment="1">
      <alignment horizontal="right"/>
    </xf>
    <xf numFmtId="0" fontId="65" fillId="26" borderId="5" xfId="0" applyFont="1" applyFill="1" applyBorder="1"/>
    <xf numFmtId="0" fontId="65" fillId="27" borderId="5" xfId="0" applyFont="1" applyFill="1" applyBorder="1"/>
    <xf numFmtId="0" fontId="65" fillId="28" borderId="5" xfId="0" applyFont="1" applyFill="1" applyBorder="1"/>
    <xf numFmtId="3" fontId="65" fillId="11" borderId="5" xfId="0" applyNumberFormat="1" applyFont="1" applyFill="1" applyBorder="1"/>
    <xf numFmtId="0" fontId="65" fillId="30" borderId="5" xfId="0" applyFont="1" applyFill="1" applyBorder="1"/>
    <xf numFmtId="3" fontId="65" fillId="0" borderId="0" xfId="0" applyNumberFormat="1" applyFont="1"/>
    <xf numFmtId="3" fontId="68" fillId="0" borderId="5" xfId="0" applyNumberFormat="1" applyFont="1" applyBorder="1"/>
    <xf numFmtId="175" fontId="65" fillId="31" borderId="5" xfId="0" applyNumberFormat="1" applyFont="1" applyFill="1" applyBorder="1"/>
    <xf numFmtId="3" fontId="65" fillId="31" borderId="5" xfId="0" applyNumberFormat="1" applyFont="1" applyFill="1" applyBorder="1"/>
    <xf numFmtId="1" fontId="65" fillId="31" borderId="5" xfId="0" applyNumberFormat="1" applyFont="1" applyFill="1" applyBorder="1"/>
    <xf numFmtId="181" fontId="0" fillId="0" borderId="5" xfId="0" applyNumberFormat="1" applyBorder="1"/>
    <xf numFmtId="3" fontId="3" fillId="31" borderId="5" xfId="0" applyNumberFormat="1" applyFont="1" applyFill="1" applyBorder="1"/>
    <xf numFmtId="3" fontId="63" fillId="0" borderId="0" xfId="0" applyNumberFormat="1" applyFont="1" applyAlignment="1">
      <alignment horizontal="right"/>
    </xf>
    <xf numFmtId="175" fontId="63" fillId="0" borderId="0" xfId="0" applyNumberFormat="1" applyFont="1"/>
    <xf numFmtId="1" fontId="65" fillId="0" borderId="5" xfId="0" applyNumberFormat="1" applyFont="1" applyBorder="1"/>
    <xf numFmtId="0" fontId="31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vertical="center"/>
    </xf>
    <xf numFmtId="0" fontId="69" fillId="0" borderId="0" xfId="0" applyFont="1" applyAlignment="1">
      <alignment horizontal="left" vertical="center" indent="5"/>
    </xf>
    <xf numFmtId="0" fontId="71" fillId="0" borderId="0" xfId="0" applyFont="1" applyAlignment="1">
      <alignment horizontal="center" vertical="center"/>
    </xf>
    <xf numFmtId="0" fontId="71" fillId="0" borderId="0" xfId="0" applyFont="1" applyAlignment="1">
      <alignment vertical="center"/>
    </xf>
    <xf numFmtId="0" fontId="72" fillId="0" borderId="0" xfId="0" applyFont="1" applyAlignment="1">
      <alignment horizontal="center" vertical="center"/>
    </xf>
    <xf numFmtId="0" fontId="71" fillId="0" borderId="0" xfId="0" applyFont="1" applyAlignment="1">
      <alignment vertical="top"/>
    </xf>
    <xf numFmtId="0" fontId="74" fillId="0" borderId="0" xfId="0" applyFont="1" applyAlignment="1">
      <alignment vertical="center"/>
    </xf>
    <xf numFmtId="0" fontId="72" fillId="0" borderId="0" xfId="0" applyFont="1" applyAlignment="1">
      <alignment vertical="center"/>
    </xf>
    <xf numFmtId="0" fontId="73" fillId="0" borderId="0" xfId="0" applyFont="1" applyAlignment="1">
      <alignment horizontal="center" vertical="center"/>
    </xf>
    <xf numFmtId="0" fontId="78" fillId="0" borderId="0" xfId="0" applyFont="1" applyAlignment="1">
      <alignment vertical="center"/>
    </xf>
    <xf numFmtId="42" fontId="0" fillId="0" borderId="0" xfId="0" applyNumberFormat="1"/>
    <xf numFmtId="10" fontId="0" fillId="0" borderId="0" xfId="0" applyNumberFormat="1"/>
    <xf numFmtId="9" fontId="0" fillId="0" borderId="0" xfId="11" applyFont="1" applyFill="1"/>
    <xf numFmtId="0" fontId="80" fillId="0" borderId="0" xfId="0" applyFont="1"/>
    <xf numFmtId="9" fontId="80" fillId="0" borderId="0" xfId="0" applyNumberFormat="1" applyFont="1"/>
    <xf numFmtId="175" fontId="29" fillId="17" borderId="37" xfId="10" applyNumberFormat="1" applyFont="1" applyFill="1" applyBorder="1" applyAlignment="1">
      <alignment horizontal="right" vertical="center"/>
    </xf>
    <xf numFmtId="0" fontId="82" fillId="0" borderId="126" xfId="0" applyFont="1" applyBorder="1" applyAlignment="1">
      <alignment horizontal="center" vertical="center"/>
    </xf>
    <xf numFmtId="0" fontId="81" fillId="0" borderId="126" xfId="0" applyFont="1" applyBorder="1" applyAlignment="1">
      <alignment horizontal="center" vertical="center"/>
    </xf>
    <xf numFmtId="0" fontId="81" fillId="0" borderId="126" xfId="0" applyFont="1" applyBorder="1" applyAlignment="1">
      <alignment horizontal="center" vertical="center" wrapText="1"/>
    </xf>
    <xf numFmtId="176" fontId="80" fillId="2" borderId="130" xfId="0" applyNumberFormat="1" applyFont="1" applyFill="1" applyBorder="1" applyAlignment="1">
      <alignment horizontal="center" vertical="center"/>
    </xf>
    <xf numFmtId="0" fontId="80" fillId="2" borderId="130" xfId="0" applyFont="1" applyFill="1" applyBorder="1" applyAlignment="1">
      <alignment horizontal="center" vertical="center"/>
    </xf>
    <xf numFmtId="176" fontId="80" fillId="2" borderId="127" xfId="0" applyNumberFormat="1" applyFont="1" applyFill="1" applyBorder="1" applyAlignment="1">
      <alignment horizontal="center" vertical="center"/>
    </xf>
    <xf numFmtId="175" fontId="82" fillId="2" borderId="130" xfId="11" applyNumberFormat="1" applyFont="1" applyFill="1" applyBorder="1" applyAlignment="1">
      <alignment horizontal="center" vertical="center"/>
    </xf>
    <xf numFmtId="176" fontId="80" fillId="7" borderId="131" xfId="0" applyNumberFormat="1" applyFont="1" applyFill="1" applyBorder="1" applyAlignment="1">
      <alignment horizontal="center" vertical="center"/>
    </xf>
    <xf numFmtId="176" fontId="80" fillId="8" borderId="132" xfId="0" applyNumberFormat="1" applyFont="1" applyFill="1" applyBorder="1" applyAlignment="1">
      <alignment horizontal="center" vertical="center"/>
    </xf>
    <xf numFmtId="0" fontId="80" fillId="0" borderId="0" xfId="0" applyFont="1" applyAlignment="1">
      <alignment horizontal="right"/>
    </xf>
    <xf numFmtId="0" fontId="0" fillId="2" borderId="130" xfId="0" applyFill="1" applyBorder="1" applyAlignment="1">
      <alignment horizontal="center" vertical="center"/>
    </xf>
    <xf numFmtId="9" fontId="3" fillId="2" borderId="104" xfId="0" applyNumberFormat="1" applyFont="1" applyFill="1" applyBorder="1" applyAlignment="1">
      <alignment horizontal="center" vertical="center"/>
    </xf>
    <xf numFmtId="0" fontId="0" fillId="7" borderId="131" xfId="0" applyFill="1" applyBorder="1" applyAlignment="1">
      <alignment horizontal="center" vertical="center"/>
    </xf>
    <xf numFmtId="0" fontId="0" fillId="8" borderId="132" xfId="0" applyFill="1" applyBorder="1" applyAlignment="1">
      <alignment horizontal="center" vertical="center"/>
    </xf>
    <xf numFmtId="42" fontId="80" fillId="7" borderId="131" xfId="0" applyNumberFormat="1" applyFont="1" applyFill="1" applyBorder="1" applyAlignment="1">
      <alignment vertical="center"/>
    </xf>
    <xf numFmtId="0" fontId="80" fillId="7" borderId="131" xfId="0" applyFont="1" applyFill="1" applyBorder="1" applyAlignment="1">
      <alignment horizontal="center" vertical="center"/>
    </xf>
    <xf numFmtId="9" fontId="81" fillId="7" borderId="109" xfId="11" applyFont="1" applyFill="1" applyBorder="1" applyAlignment="1">
      <alignment horizontal="center" vertical="center"/>
    </xf>
    <xf numFmtId="4" fontId="80" fillId="7" borderId="110" xfId="0" applyNumberFormat="1" applyFont="1" applyFill="1" applyBorder="1" applyAlignment="1">
      <alignment vertical="center"/>
    </xf>
    <xf numFmtId="176" fontId="80" fillId="7" borderId="131" xfId="0" applyNumberFormat="1" applyFont="1" applyFill="1" applyBorder="1" applyAlignment="1">
      <alignment vertical="center"/>
    </xf>
    <xf numFmtId="175" fontId="81" fillId="7" borderId="131" xfId="11" applyNumberFormat="1" applyFont="1" applyFill="1" applyBorder="1" applyAlignment="1">
      <alignment horizontal="center" vertical="center"/>
    </xf>
    <xf numFmtId="42" fontId="80" fillId="8" borderId="132" xfId="0" applyNumberFormat="1" applyFont="1" applyFill="1" applyBorder="1" applyAlignment="1">
      <alignment vertical="center"/>
    </xf>
    <xf numFmtId="0" fontId="80" fillId="8" borderId="132" xfId="0" applyFont="1" applyFill="1" applyBorder="1" applyAlignment="1">
      <alignment horizontal="center" vertical="center"/>
    </xf>
    <xf numFmtId="9" fontId="81" fillId="8" borderId="102" xfId="0" applyNumberFormat="1" applyFont="1" applyFill="1" applyBorder="1" applyAlignment="1">
      <alignment horizontal="center" vertical="center"/>
    </xf>
    <xf numFmtId="176" fontId="80" fillId="8" borderId="103" xfId="0" applyNumberFormat="1" applyFont="1" applyFill="1" applyBorder="1" applyAlignment="1">
      <alignment vertical="center"/>
    </xf>
    <xf numFmtId="176" fontId="80" fillId="8" borderId="132" xfId="0" applyNumberFormat="1" applyFont="1" applyFill="1" applyBorder="1" applyAlignment="1">
      <alignment vertical="center"/>
    </xf>
    <xf numFmtId="175" fontId="81" fillId="8" borderId="132" xfId="11" applyNumberFormat="1" applyFont="1" applyFill="1" applyBorder="1" applyAlignment="1">
      <alignment horizontal="center" vertical="center"/>
    </xf>
    <xf numFmtId="0" fontId="82" fillId="0" borderId="126" xfId="0" applyFont="1" applyBorder="1" applyAlignment="1">
      <alignment horizontal="center" vertical="center" wrapText="1"/>
    </xf>
    <xf numFmtId="2" fontId="24" fillId="16" borderId="19" xfId="7" applyNumberFormat="1" applyFill="1" applyBorder="1" applyAlignment="1">
      <alignment horizontal="center"/>
    </xf>
    <xf numFmtId="0" fontId="28" fillId="20" borderId="66" xfId="7" applyFont="1" applyFill="1" applyBorder="1" applyAlignment="1">
      <alignment horizontal="left" vertical="center" indent="1"/>
    </xf>
    <xf numFmtId="0" fontId="24" fillId="20" borderId="65" xfId="7" applyFill="1" applyBorder="1"/>
    <xf numFmtId="177" fontId="24" fillId="20" borderId="65" xfId="7" applyNumberFormat="1" applyFill="1" applyBorder="1" applyAlignment="1">
      <alignment horizontal="right" vertical="center"/>
    </xf>
    <xf numFmtId="10" fontId="28" fillId="20" borderId="65" xfId="9" applyNumberFormat="1" applyFont="1" applyFill="1" applyBorder="1" applyAlignment="1">
      <alignment vertical="center"/>
    </xf>
    <xf numFmtId="3" fontId="24" fillId="20" borderId="65" xfId="7" applyNumberFormat="1" applyFill="1" applyBorder="1" applyAlignment="1">
      <alignment horizontal="right" vertical="center"/>
    </xf>
    <xf numFmtId="42" fontId="29" fillId="20" borderId="56" xfId="7" applyNumberFormat="1" applyFont="1" applyFill="1" applyBorder="1" applyAlignment="1">
      <alignment horizontal="center" vertical="center"/>
    </xf>
    <xf numFmtId="0" fontId="28" fillId="20" borderId="77" xfId="7" applyFont="1" applyFill="1" applyBorder="1"/>
    <xf numFmtId="0" fontId="28" fillId="20" borderId="78" xfId="7" applyFont="1" applyFill="1" applyBorder="1" applyAlignment="1">
      <alignment vertical="center"/>
    </xf>
    <xf numFmtId="10" fontId="39" fillId="20" borderId="78" xfId="9" applyNumberFormat="1" applyFont="1" applyFill="1" applyBorder="1" applyAlignment="1">
      <alignment horizontal="center" vertical="center"/>
    </xf>
    <xf numFmtId="0" fontId="30" fillId="20" borderId="78" xfId="7" applyFont="1" applyFill="1" applyBorder="1" applyAlignment="1">
      <alignment horizontal="center" vertical="center"/>
    </xf>
    <xf numFmtId="0" fontId="28" fillId="20" borderId="79" xfId="7" applyFont="1" applyFill="1" applyBorder="1" applyAlignment="1">
      <alignment vertical="center"/>
    </xf>
    <xf numFmtId="0" fontId="41" fillId="0" borderId="72" xfId="7" applyFont="1" applyBorder="1" applyAlignment="1">
      <alignment horizontal="left" vertical="center" indent="1"/>
    </xf>
    <xf numFmtId="0" fontId="31" fillId="0" borderId="73" xfId="7" applyFont="1" applyBorder="1" applyAlignment="1">
      <alignment vertical="center"/>
    </xf>
    <xf numFmtId="177" fontId="45" fillId="0" borderId="73" xfId="7" applyNumberFormat="1" applyFont="1" applyBorder="1" applyAlignment="1">
      <alignment horizontal="right" vertical="center"/>
    </xf>
    <xf numFmtId="10" fontId="45" fillId="0" borderId="73" xfId="7" applyNumberFormat="1" applyFont="1" applyBorder="1" applyAlignment="1">
      <alignment vertical="center"/>
    </xf>
    <xf numFmtId="166" fontId="45" fillId="0" borderId="73" xfId="7" applyNumberFormat="1" applyFont="1" applyBorder="1" applyAlignment="1">
      <alignment vertical="center"/>
    </xf>
    <xf numFmtId="42" fontId="24" fillId="0" borderId="59" xfId="7" applyNumberFormat="1" applyBorder="1" applyAlignment="1">
      <alignment vertical="center"/>
    </xf>
    <xf numFmtId="49" fontId="24" fillId="0" borderId="45" xfId="7" applyNumberFormat="1" applyBorder="1" applyAlignment="1">
      <alignment vertical="center"/>
    </xf>
    <xf numFmtId="49" fontId="24" fillId="0" borderId="48" xfId="7" applyNumberFormat="1" applyBorder="1" applyAlignment="1">
      <alignment vertical="center"/>
    </xf>
    <xf numFmtId="177" fontId="24" fillId="0" borderId="100" xfId="7" applyNumberFormat="1" applyBorder="1" applyAlignment="1">
      <alignment vertical="center"/>
    </xf>
    <xf numFmtId="177" fontId="24" fillId="0" borderId="103" xfId="7" applyNumberFormat="1" applyBorder="1" applyAlignment="1">
      <alignment vertical="center"/>
    </xf>
    <xf numFmtId="49" fontId="24" fillId="0" borderId="16" xfId="7" applyNumberFormat="1" applyBorder="1" applyAlignment="1">
      <alignment vertical="center"/>
    </xf>
    <xf numFmtId="177" fontId="24" fillId="0" borderId="110" xfId="7" applyNumberFormat="1" applyBorder="1" applyAlignment="1">
      <alignment vertical="center"/>
    </xf>
    <xf numFmtId="49" fontId="24" fillId="0" borderId="73" xfId="7" applyNumberFormat="1" applyBorder="1" applyAlignment="1">
      <alignment vertical="center"/>
    </xf>
    <xf numFmtId="49" fontId="24" fillId="0" borderId="70" xfId="7" applyNumberFormat="1" applyBorder="1" applyAlignment="1">
      <alignment vertical="center"/>
    </xf>
    <xf numFmtId="177" fontId="44" fillId="0" borderId="117" xfId="7" applyNumberFormat="1" applyFont="1" applyBorder="1" applyAlignment="1">
      <alignment vertical="center"/>
    </xf>
    <xf numFmtId="49" fontId="24" fillId="0" borderId="23" xfId="7" applyNumberFormat="1" applyBorder="1" applyAlignment="1">
      <alignment vertical="center"/>
    </xf>
    <xf numFmtId="177" fontId="24" fillId="0" borderId="25" xfId="7" applyNumberFormat="1" applyBorder="1" applyAlignment="1">
      <alignment vertical="center"/>
    </xf>
    <xf numFmtId="177" fontId="44" fillId="0" borderId="25" xfId="7" applyNumberFormat="1" applyFont="1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24" fillId="0" borderId="0" xfId="7" applyNumberFormat="1" applyAlignment="1">
      <alignment vertical="center"/>
    </xf>
    <xf numFmtId="9" fontId="24" fillId="0" borderId="136" xfId="7" applyNumberFormat="1" applyBorder="1" applyAlignment="1">
      <alignment horizontal="center" vertical="center"/>
    </xf>
    <xf numFmtId="165" fontId="88" fillId="0" borderId="0" xfId="7" applyNumberFormat="1" applyFont="1" applyAlignment="1">
      <alignment horizontal="center" vertical="center"/>
    </xf>
    <xf numFmtId="0" fontId="72" fillId="3" borderId="0" xfId="0" applyFont="1" applyFill="1" applyAlignment="1">
      <alignment horizontal="center" vertical="center"/>
    </xf>
    <xf numFmtId="0" fontId="71" fillId="0" borderId="0" xfId="0" applyFont="1" applyAlignment="1">
      <alignment horizontal="left" vertical="center"/>
    </xf>
    <xf numFmtId="0" fontId="71" fillId="0" borderId="0" xfId="0" applyFont="1" applyAlignment="1">
      <alignment horizontal="center" vertical="top"/>
    </xf>
    <xf numFmtId="0" fontId="6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8" fillId="0" borderId="2" xfId="6" applyFont="1" applyBorder="1" applyAlignment="1">
      <alignment horizontal="center"/>
    </xf>
    <xf numFmtId="0" fontId="18" fillId="0" borderId="3" xfId="6" applyFont="1" applyBorder="1" applyAlignment="1">
      <alignment horizontal="center"/>
    </xf>
    <xf numFmtId="0" fontId="18" fillId="0" borderId="4" xfId="6" applyFont="1" applyBorder="1" applyAlignment="1">
      <alignment horizontal="center"/>
    </xf>
    <xf numFmtId="0" fontId="1" fillId="0" borderId="0" xfId="5" applyAlignment="1">
      <alignment horizontal="center"/>
    </xf>
    <xf numFmtId="0" fontId="13" fillId="0" borderId="13" xfId="6" applyFont="1" applyBorder="1" applyAlignment="1">
      <alignment horizontal="left" vertical="top"/>
    </xf>
    <xf numFmtId="0" fontId="13" fillId="0" borderId="18" xfId="6" applyFont="1" applyBorder="1" applyAlignment="1">
      <alignment horizontal="left" vertical="top"/>
    </xf>
    <xf numFmtId="0" fontId="13" fillId="0" borderId="7" xfId="6" applyFont="1" applyBorder="1" applyAlignment="1">
      <alignment horizontal="left" vertical="top"/>
    </xf>
    <xf numFmtId="0" fontId="13" fillId="0" borderId="10" xfId="6" applyFont="1" applyBorder="1" applyAlignment="1">
      <alignment horizontal="left" vertical="top"/>
    </xf>
    <xf numFmtId="0" fontId="13" fillId="0" borderId="15" xfId="6" applyFont="1" applyBorder="1" applyAlignment="1">
      <alignment horizontal="left" vertical="top"/>
    </xf>
    <xf numFmtId="0" fontId="13" fillId="0" borderId="20" xfId="6" applyFont="1" applyBorder="1" applyAlignment="1">
      <alignment horizontal="left" vertical="top"/>
    </xf>
    <xf numFmtId="0" fontId="13" fillId="0" borderId="13" xfId="6" applyFont="1" applyBorder="1" applyAlignment="1">
      <alignment horizontal="left" vertical="top" wrapText="1"/>
    </xf>
    <xf numFmtId="0" fontId="13" fillId="0" borderId="27" xfId="6" applyFont="1" applyBorder="1" applyAlignment="1">
      <alignment horizontal="left" vertical="top" wrapText="1"/>
    </xf>
    <xf numFmtId="0" fontId="13" fillId="0" borderId="18" xfId="6" applyFont="1" applyBorder="1" applyAlignment="1">
      <alignment horizontal="left" vertical="top" wrapText="1"/>
    </xf>
    <xf numFmtId="0" fontId="13" fillId="0" borderId="7" xfId="6" applyFont="1" applyBorder="1" applyAlignment="1">
      <alignment horizontal="left" vertical="top" wrapText="1"/>
    </xf>
    <xf numFmtId="49" fontId="24" fillId="33" borderId="106" xfId="7" applyNumberFormat="1" applyFill="1" applyBorder="1" applyAlignment="1">
      <alignment horizontal="center" vertical="center"/>
    </xf>
    <xf numFmtId="49" fontId="24" fillId="33" borderId="75" xfId="7" applyNumberFormat="1" applyFill="1" applyBorder="1" applyAlignment="1">
      <alignment horizontal="center" vertical="center"/>
    </xf>
    <xf numFmtId="49" fontId="24" fillId="33" borderId="93" xfId="7" applyNumberFormat="1" applyFill="1" applyBorder="1" applyAlignment="1">
      <alignment horizontal="center" vertical="center"/>
    </xf>
    <xf numFmtId="49" fontId="24" fillId="33" borderId="133" xfId="7" applyNumberFormat="1" applyFill="1" applyBorder="1" applyAlignment="1">
      <alignment horizontal="center" vertical="center"/>
    </xf>
    <xf numFmtId="49" fontId="24" fillId="33" borderId="101" xfId="7" applyNumberFormat="1" applyFill="1" applyBorder="1" applyAlignment="1">
      <alignment horizontal="center" vertical="center"/>
    </xf>
    <xf numFmtId="49" fontId="24" fillId="33" borderId="134" xfId="7" applyNumberFormat="1" applyFill="1" applyBorder="1" applyAlignment="1">
      <alignment horizontal="center" vertical="center"/>
    </xf>
    <xf numFmtId="9" fontId="24" fillId="0" borderId="139" xfId="7" applyNumberFormat="1" applyBorder="1" applyAlignment="1">
      <alignment horizontal="center" vertical="center"/>
    </xf>
    <xf numFmtId="9" fontId="24" fillId="0" borderId="140" xfId="7" applyNumberFormat="1" applyBorder="1" applyAlignment="1">
      <alignment horizontal="center" vertical="center"/>
    </xf>
    <xf numFmtId="9" fontId="24" fillId="0" borderId="137" xfId="7" applyNumberFormat="1" applyBorder="1" applyAlignment="1">
      <alignment horizontal="center" vertical="center"/>
    </xf>
    <xf numFmtId="49" fontId="24" fillId="33" borderId="135" xfId="7" applyNumberFormat="1" applyFill="1" applyBorder="1" applyAlignment="1">
      <alignment horizontal="center" vertical="center"/>
    </xf>
    <xf numFmtId="49" fontId="24" fillId="33" borderId="81" xfId="7" applyNumberFormat="1" applyFill="1" applyBorder="1" applyAlignment="1">
      <alignment horizontal="center" vertical="center"/>
    </xf>
    <xf numFmtId="42" fontId="31" fillId="7" borderId="78" xfId="7" applyNumberFormat="1" applyFont="1" applyFill="1" applyBorder="1" applyAlignment="1">
      <alignment horizontal="center"/>
    </xf>
    <xf numFmtId="0" fontId="25" fillId="18" borderId="30" xfId="7" applyFont="1" applyFill="1" applyBorder="1" applyAlignment="1">
      <alignment horizontal="center" vertical="center"/>
    </xf>
    <xf numFmtId="0" fontId="25" fillId="18" borderId="31" xfId="7" applyFont="1" applyFill="1" applyBorder="1" applyAlignment="1">
      <alignment horizontal="center" vertical="center"/>
    </xf>
    <xf numFmtId="0" fontId="25" fillId="18" borderId="32" xfId="7" applyFont="1" applyFill="1" applyBorder="1" applyAlignment="1">
      <alignment horizontal="center" vertical="center"/>
    </xf>
    <xf numFmtId="0" fontId="26" fillId="19" borderId="33" xfId="7" applyFont="1" applyFill="1" applyBorder="1" applyAlignment="1">
      <alignment horizontal="center" vertical="center"/>
    </xf>
    <xf numFmtId="0" fontId="26" fillId="19" borderId="34" xfId="7" applyFont="1" applyFill="1" applyBorder="1" applyAlignment="1">
      <alignment horizontal="center" vertical="center"/>
    </xf>
    <xf numFmtId="0" fontId="26" fillId="19" borderId="35" xfId="7" applyFont="1" applyFill="1" applyBorder="1" applyAlignment="1">
      <alignment horizontal="center" vertical="center"/>
    </xf>
    <xf numFmtId="0" fontId="26" fillId="19" borderId="36" xfId="7" applyFont="1" applyFill="1" applyBorder="1" applyAlignment="1">
      <alignment horizontal="center" vertical="center"/>
    </xf>
    <xf numFmtId="0" fontId="26" fillId="19" borderId="0" xfId="7" applyFont="1" applyFill="1" applyAlignment="1">
      <alignment horizontal="center" vertical="center"/>
    </xf>
    <xf numFmtId="0" fontId="26" fillId="19" borderId="37" xfId="7" applyFont="1" applyFill="1" applyBorder="1" applyAlignment="1">
      <alignment horizontal="center" vertical="center"/>
    </xf>
    <xf numFmtId="0" fontId="26" fillId="19" borderId="38" xfId="7" applyFont="1" applyFill="1" applyBorder="1" applyAlignment="1">
      <alignment horizontal="center" vertical="center"/>
    </xf>
    <xf numFmtId="0" fontId="26" fillId="19" borderId="1" xfId="7" applyFont="1" applyFill="1" applyBorder="1" applyAlignment="1">
      <alignment horizontal="center" vertical="center"/>
    </xf>
    <xf numFmtId="0" fontId="26" fillId="19" borderId="39" xfId="7" applyFont="1" applyFill="1" applyBorder="1" applyAlignment="1">
      <alignment horizontal="center" vertical="center"/>
    </xf>
    <xf numFmtId="0" fontId="27" fillId="20" borderId="40" xfId="7" applyFont="1" applyFill="1" applyBorder="1" applyAlignment="1">
      <alignment horizontal="center" vertical="center"/>
    </xf>
    <xf numFmtId="0" fontId="27" fillId="20" borderId="41" xfId="7" applyFont="1" applyFill="1" applyBorder="1" applyAlignment="1">
      <alignment horizontal="center" vertical="center"/>
    </xf>
    <xf numFmtId="0" fontId="27" fillId="20" borderId="42" xfId="7" applyFont="1" applyFill="1" applyBorder="1" applyAlignment="1">
      <alignment horizontal="center" vertical="center"/>
    </xf>
    <xf numFmtId="0" fontId="27" fillId="20" borderId="38" xfId="7" applyFont="1" applyFill="1" applyBorder="1" applyAlignment="1">
      <alignment horizontal="center" vertical="center"/>
    </xf>
    <xf numFmtId="0" fontId="27" fillId="20" borderId="1" xfId="7" applyFont="1" applyFill="1" applyBorder="1" applyAlignment="1">
      <alignment horizontal="center" vertical="center"/>
    </xf>
    <xf numFmtId="0" fontId="27" fillId="20" borderId="39" xfId="7" applyFont="1" applyFill="1" applyBorder="1" applyAlignment="1">
      <alignment horizontal="center" vertical="center"/>
    </xf>
    <xf numFmtId="168" fontId="0" fillId="0" borderId="65" xfId="9" applyNumberFormat="1" applyFont="1" applyFill="1" applyBorder="1" applyAlignment="1">
      <alignment horizontal="center" vertical="center"/>
    </xf>
    <xf numFmtId="168" fontId="0" fillId="0" borderId="80" xfId="9" applyNumberFormat="1" applyFont="1" applyFill="1" applyBorder="1" applyAlignment="1">
      <alignment horizontal="center" vertical="center"/>
    </xf>
    <xf numFmtId="168" fontId="0" fillId="0" borderId="68" xfId="9" applyNumberFormat="1" applyFont="1" applyFill="1" applyBorder="1" applyAlignment="1">
      <alignment horizontal="center" vertical="center"/>
    </xf>
    <xf numFmtId="9" fontId="24" fillId="0" borderId="56" xfId="7" applyNumberFormat="1" applyBorder="1" applyAlignment="1">
      <alignment horizontal="center" vertical="center"/>
    </xf>
    <xf numFmtId="9" fontId="24" fillId="0" borderId="62" xfId="7" applyNumberFormat="1" applyBorder="1" applyAlignment="1">
      <alignment horizontal="center" vertical="center"/>
    </xf>
    <xf numFmtId="9" fontId="24" fillId="0" borderId="69" xfId="7" applyNumberFormat="1" applyBorder="1" applyAlignment="1">
      <alignment horizontal="center" vertical="center"/>
    </xf>
    <xf numFmtId="168" fontId="36" fillId="0" borderId="11" xfId="9" applyNumberFormat="1" applyFont="1" applyFill="1" applyBorder="1" applyAlignment="1">
      <alignment horizontal="center"/>
    </xf>
    <xf numFmtId="0" fontId="28" fillId="0" borderId="106" xfId="7" applyFont="1" applyBorder="1" applyAlignment="1">
      <alignment horizontal="center" vertical="center"/>
    </xf>
    <xf numFmtId="0" fontId="28" fillId="0" borderId="34" xfId="7" applyFont="1" applyBorder="1" applyAlignment="1">
      <alignment horizontal="center" vertical="center"/>
    </xf>
    <xf numFmtId="0" fontId="28" fillId="0" borderId="107" xfId="7" applyFont="1" applyBorder="1" applyAlignment="1">
      <alignment horizontal="center" vertical="center"/>
    </xf>
    <xf numFmtId="0" fontId="28" fillId="0" borderId="101" xfId="7" applyFont="1" applyBorder="1" applyAlignment="1">
      <alignment horizontal="center" vertical="center"/>
    </xf>
    <xf numFmtId="0" fontId="28" fillId="0" borderId="78" xfId="7" applyFont="1" applyBorder="1" applyAlignment="1">
      <alignment horizontal="center" vertical="center"/>
    </xf>
    <xf numFmtId="0" fontId="28" fillId="0" borderId="108" xfId="7" applyFont="1" applyBorder="1" applyAlignment="1">
      <alignment horizontal="center" vertical="center"/>
    </xf>
    <xf numFmtId="0" fontId="38" fillId="20" borderId="40" xfId="7" applyFont="1" applyFill="1" applyBorder="1" applyAlignment="1">
      <alignment horizontal="center" vertical="center"/>
    </xf>
    <xf numFmtId="0" fontId="38" fillId="20" borderId="41" xfId="7" applyFont="1" applyFill="1" applyBorder="1" applyAlignment="1">
      <alignment horizontal="center" vertical="center"/>
    </xf>
    <xf numFmtId="0" fontId="38" fillId="20" borderId="42" xfId="7" applyFont="1" applyFill="1" applyBorder="1" applyAlignment="1">
      <alignment horizontal="center" vertical="center"/>
    </xf>
    <xf numFmtId="0" fontId="38" fillId="20" borderId="38" xfId="7" applyFont="1" applyFill="1" applyBorder="1" applyAlignment="1">
      <alignment horizontal="center" vertical="center"/>
    </xf>
    <xf numFmtId="0" fontId="38" fillId="20" borderId="1" xfId="7" applyFont="1" applyFill="1" applyBorder="1" applyAlignment="1">
      <alignment horizontal="center" vertical="center"/>
    </xf>
    <xf numFmtId="0" fontId="38" fillId="20" borderId="39" xfId="7" applyFont="1" applyFill="1" applyBorder="1" applyAlignment="1">
      <alignment horizontal="center" vertical="center"/>
    </xf>
    <xf numFmtId="177" fontId="0" fillId="0" borderId="94" xfId="8" applyNumberFormat="1" applyFont="1" applyBorder="1" applyAlignment="1">
      <alignment horizontal="center" vertical="center"/>
    </xf>
    <xf numFmtId="177" fontId="29" fillId="7" borderId="34" xfId="7" applyNumberFormat="1" applyFont="1" applyFill="1" applyBorder="1" applyAlignment="1">
      <alignment horizontal="center"/>
    </xf>
    <xf numFmtId="177" fontId="28" fillId="0" borderId="0" xfId="7" applyNumberFormat="1" applyFont="1" applyAlignment="1">
      <alignment horizontal="center"/>
    </xf>
    <xf numFmtId="0" fontId="44" fillId="34" borderId="106" xfId="7" applyFont="1" applyFill="1" applyBorder="1" applyAlignment="1">
      <alignment horizontal="center" vertical="center"/>
    </xf>
    <xf numFmtId="0" fontId="44" fillId="34" borderId="34" xfId="7" applyFont="1" applyFill="1" applyBorder="1" applyAlignment="1">
      <alignment horizontal="center" vertical="center"/>
    </xf>
    <xf numFmtId="0" fontId="44" fillId="34" borderId="107" xfId="7" applyFont="1" applyFill="1" applyBorder="1" applyAlignment="1">
      <alignment horizontal="center" vertical="center"/>
    </xf>
    <xf numFmtId="0" fontId="44" fillId="34" borderId="101" xfId="7" applyFont="1" applyFill="1" applyBorder="1" applyAlignment="1">
      <alignment horizontal="center" vertical="center"/>
    </xf>
    <xf numFmtId="0" fontId="44" fillId="34" borderId="78" xfId="7" applyFont="1" applyFill="1" applyBorder="1" applyAlignment="1">
      <alignment horizontal="center" vertical="center"/>
    </xf>
    <xf numFmtId="0" fontId="44" fillId="34" borderId="108" xfId="7" applyFont="1" applyFill="1" applyBorder="1" applyAlignment="1">
      <alignment horizontal="center" vertical="center"/>
    </xf>
    <xf numFmtId="49" fontId="24" fillId="33" borderId="6" xfId="7" applyNumberFormat="1" applyFill="1" applyBorder="1" applyAlignment="1">
      <alignment horizontal="center" vertical="center"/>
    </xf>
    <xf numFmtId="49" fontId="24" fillId="33" borderId="138" xfId="7" applyNumberFormat="1" applyFill="1" applyBorder="1" applyAlignment="1">
      <alignment horizontal="center" vertical="center"/>
    </xf>
    <xf numFmtId="9" fontId="32" fillId="2" borderId="99" xfId="7" applyNumberFormat="1" applyFont="1" applyFill="1" applyBorder="1" applyAlignment="1">
      <alignment horizontal="center" vertical="center"/>
    </xf>
    <xf numFmtId="9" fontId="32" fillId="2" borderId="102" xfId="7" applyNumberFormat="1" applyFont="1" applyFill="1" applyBorder="1" applyAlignment="1">
      <alignment horizontal="center" vertical="center"/>
    </xf>
    <xf numFmtId="9" fontId="32" fillId="0" borderId="16" xfId="7" applyNumberFormat="1" applyFont="1" applyBorder="1" applyAlignment="1">
      <alignment horizontal="center" vertical="center"/>
    </xf>
    <xf numFmtId="0" fontId="38" fillId="22" borderId="40" xfId="7" applyFont="1" applyFill="1" applyBorder="1" applyAlignment="1">
      <alignment horizontal="center" vertical="center"/>
    </xf>
    <xf numFmtId="0" fontId="38" fillId="22" borderId="41" xfId="7" applyFont="1" applyFill="1" applyBorder="1" applyAlignment="1">
      <alignment horizontal="center" vertical="center"/>
    </xf>
    <xf numFmtId="0" fontId="38" fillId="22" borderId="42" xfId="7" applyFont="1" applyFill="1" applyBorder="1" applyAlignment="1">
      <alignment horizontal="center" vertical="center"/>
    </xf>
    <xf numFmtId="0" fontId="38" fillId="22" borderId="38" xfId="7" applyFont="1" applyFill="1" applyBorder="1" applyAlignment="1">
      <alignment horizontal="center" vertical="center"/>
    </xf>
    <xf numFmtId="0" fontId="38" fillId="22" borderId="1" xfId="7" applyFont="1" applyFill="1" applyBorder="1" applyAlignment="1">
      <alignment horizontal="center" vertical="center"/>
    </xf>
    <xf numFmtId="0" fontId="38" fillId="22" borderId="39" xfId="7" applyFont="1" applyFill="1" applyBorder="1" applyAlignment="1">
      <alignment horizontal="center" vertical="center"/>
    </xf>
    <xf numFmtId="175" fontId="28" fillId="0" borderId="10" xfId="10" applyNumberFormat="1" applyFont="1" applyBorder="1" applyAlignment="1">
      <alignment horizontal="center"/>
    </xf>
    <xf numFmtId="175" fontId="28" fillId="0" borderId="91" xfId="10" applyNumberFormat="1" applyFont="1" applyBorder="1" applyAlignment="1">
      <alignment horizontal="center"/>
    </xf>
    <xf numFmtId="175" fontId="28" fillId="0" borderId="92" xfId="10" applyNumberFormat="1" applyFont="1" applyBorder="1" applyAlignment="1">
      <alignment horizontal="center"/>
    </xf>
    <xf numFmtId="0" fontId="28" fillId="22" borderId="30" xfId="7" applyFont="1" applyFill="1" applyBorder="1" applyAlignment="1">
      <alignment horizontal="left" vertical="center"/>
    </xf>
    <xf numFmtId="0" fontId="28" fillId="22" borderId="31" xfId="7" applyFont="1" applyFill="1" applyBorder="1" applyAlignment="1">
      <alignment horizontal="left" vertical="center"/>
    </xf>
    <xf numFmtId="0" fontId="28" fillId="22" borderId="32" xfId="7" applyFont="1" applyFill="1" applyBorder="1" applyAlignment="1">
      <alignment horizontal="left" vertical="center"/>
    </xf>
    <xf numFmtId="9" fontId="29" fillId="22" borderId="40" xfId="7" applyNumberFormat="1" applyFont="1" applyFill="1" applyBorder="1" applyAlignment="1">
      <alignment horizontal="center" vertical="center"/>
    </xf>
    <xf numFmtId="9" fontId="29" fillId="22" borderId="98" xfId="7" applyNumberFormat="1" applyFont="1" applyFill="1" applyBorder="1" applyAlignment="1">
      <alignment horizontal="center" vertical="center"/>
    </xf>
    <xf numFmtId="9" fontId="29" fillId="22" borderId="38" xfId="7" applyNumberFormat="1" applyFont="1" applyFill="1" applyBorder="1" applyAlignment="1">
      <alignment horizontal="center" vertical="center"/>
    </xf>
    <xf numFmtId="9" fontId="29" fillId="22" borderId="50" xfId="7" applyNumberFormat="1" applyFont="1" applyFill="1" applyBorder="1" applyAlignment="1">
      <alignment horizontal="center" vertical="center"/>
    </xf>
    <xf numFmtId="180" fontId="27" fillId="22" borderId="92" xfId="7" applyNumberFormat="1" applyFont="1" applyFill="1" applyBorder="1" applyAlignment="1">
      <alignment horizontal="center" vertical="center"/>
    </xf>
    <xf numFmtId="180" fontId="27" fillId="22" borderId="52" xfId="7" applyNumberFormat="1" applyFont="1" applyFill="1" applyBorder="1" applyAlignment="1">
      <alignment horizontal="center" vertical="center"/>
    </xf>
    <xf numFmtId="9" fontId="32" fillId="21" borderId="99" xfId="7" applyNumberFormat="1" applyFont="1" applyFill="1" applyBorder="1" applyAlignment="1">
      <alignment horizontal="center" vertical="center"/>
    </xf>
    <xf numFmtId="9" fontId="32" fillId="21" borderId="102" xfId="7" applyNumberFormat="1" applyFont="1" applyFill="1" applyBorder="1" applyAlignment="1">
      <alignment horizontal="center" vertical="center"/>
    </xf>
    <xf numFmtId="0" fontId="56" fillId="24" borderId="0" xfId="7" applyFont="1" applyFill="1" applyAlignment="1">
      <alignment horizontal="center" vertical="center"/>
    </xf>
    <xf numFmtId="168" fontId="24" fillId="0" borderId="11" xfId="9" applyNumberFormat="1" applyFont="1" applyFill="1" applyBorder="1" applyAlignment="1">
      <alignment horizontal="center"/>
    </xf>
    <xf numFmtId="177" fontId="28" fillId="21" borderId="7" xfId="8" applyNumberFormat="1" applyFont="1" applyFill="1" applyBorder="1" applyAlignment="1">
      <alignment horizontal="center" vertical="center"/>
    </xf>
    <xf numFmtId="177" fontId="28" fillId="21" borderId="9" xfId="8" applyNumberFormat="1" applyFont="1" applyFill="1" applyBorder="1" applyAlignment="1">
      <alignment horizontal="center" vertical="center"/>
    </xf>
    <xf numFmtId="177" fontId="28" fillId="22" borderId="7" xfId="8" applyNumberFormat="1" applyFont="1" applyFill="1" applyBorder="1" applyAlignment="1">
      <alignment horizontal="center" vertical="center"/>
    </xf>
    <xf numFmtId="177" fontId="28" fillId="22" borderId="9" xfId="8" applyNumberFormat="1" applyFont="1" applyFill="1" applyBorder="1" applyAlignment="1">
      <alignment horizontal="center" vertical="center"/>
    </xf>
    <xf numFmtId="9" fontId="32" fillId="2" borderId="82" xfId="7" applyNumberFormat="1" applyFont="1" applyFill="1" applyBorder="1" applyAlignment="1">
      <alignment horizontal="center" vertical="center"/>
    </xf>
    <xf numFmtId="9" fontId="32" fillId="2" borderId="85" xfId="7" applyNumberFormat="1" applyFont="1" applyFill="1" applyBorder="1" applyAlignment="1">
      <alignment horizontal="center" vertical="center"/>
    </xf>
    <xf numFmtId="9" fontId="32" fillId="2" borderId="88" xfId="7" applyNumberFormat="1" applyFont="1" applyFill="1" applyBorder="1" applyAlignment="1">
      <alignment horizontal="center" vertical="center"/>
    </xf>
    <xf numFmtId="0" fontId="29" fillId="21" borderId="40" xfId="7" applyFont="1" applyFill="1" applyBorder="1" applyAlignment="1">
      <alignment horizontal="center" vertical="center"/>
    </xf>
    <xf numFmtId="0" fontId="29" fillId="21" borderId="41" xfId="7" applyFont="1" applyFill="1" applyBorder="1" applyAlignment="1">
      <alignment horizontal="center" vertical="center"/>
    </xf>
    <xf numFmtId="0" fontId="29" fillId="21" borderId="42" xfId="7" applyFont="1" applyFill="1" applyBorder="1" applyAlignment="1">
      <alignment horizontal="center" vertical="center"/>
    </xf>
    <xf numFmtId="0" fontId="29" fillId="21" borderId="38" xfId="7" applyFont="1" applyFill="1" applyBorder="1" applyAlignment="1">
      <alignment horizontal="center" vertical="center"/>
    </xf>
    <xf numFmtId="0" fontId="29" fillId="21" borderId="1" xfId="7" applyFont="1" applyFill="1" applyBorder="1" applyAlignment="1">
      <alignment horizontal="center" vertical="center"/>
    </xf>
    <xf numFmtId="0" fontId="29" fillId="21" borderId="39" xfId="7" applyFont="1" applyFill="1" applyBorder="1" applyAlignment="1">
      <alignment horizontal="center" vertical="center"/>
    </xf>
    <xf numFmtId="0" fontId="28" fillId="21" borderId="13" xfId="7" applyFont="1" applyFill="1" applyBorder="1" applyAlignment="1">
      <alignment horizontal="center" vertical="center"/>
    </xf>
    <xf numFmtId="0" fontId="28" fillId="21" borderId="14" xfId="7" applyFont="1" applyFill="1" applyBorder="1" applyAlignment="1">
      <alignment horizontal="center" vertical="center"/>
    </xf>
    <xf numFmtId="0" fontId="28" fillId="22" borderId="13" xfId="7" applyFont="1" applyFill="1" applyBorder="1" applyAlignment="1">
      <alignment horizontal="center" vertical="center"/>
    </xf>
    <xf numFmtId="0" fontId="28" fillId="22" borderId="14" xfId="7" applyFont="1" applyFill="1" applyBorder="1" applyAlignment="1">
      <alignment horizontal="center" vertical="center"/>
    </xf>
    <xf numFmtId="177" fontId="0" fillId="0" borderId="0" xfId="8" applyNumberFormat="1" applyFont="1" applyBorder="1" applyAlignment="1">
      <alignment horizontal="center" vertical="center"/>
    </xf>
    <xf numFmtId="9" fontId="32" fillId="2" borderId="104" xfId="7" applyNumberFormat="1" applyFont="1" applyFill="1" applyBorder="1" applyAlignment="1">
      <alignment horizontal="center" vertical="center"/>
    </xf>
    <xf numFmtId="9" fontId="32" fillId="2" borderId="105" xfId="7" applyNumberFormat="1" applyFont="1" applyFill="1" applyBorder="1" applyAlignment="1">
      <alignment horizontal="center" vertical="center"/>
    </xf>
    <xf numFmtId="0" fontId="51" fillId="7" borderId="40" xfId="7" applyFont="1" applyFill="1" applyBorder="1" applyAlignment="1">
      <alignment horizontal="center" vertical="center"/>
    </xf>
    <xf numFmtId="0" fontId="51" fillId="7" borderId="41" xfId="7" applyFont="1" applyFill="1" applyBorder="1" applyAlignment="1">
      <alignment horizontal="center" vertical="center"/>
    </xf>
    <xf numFmtId="0" fontId="51" fillId="7" borderId="42" xfId="7" applyFont="1" applyFill="1" applyBorder="1" applyAlignment="1">
      <alignment horizontal="center" vertical="center"/>
    </xf>
    <xf numFmtId="0" fontId="51" fillId="7" borderId="38" xfId="7" applyFont="1" applyFill="1" applyBorder="1" applyAlignment="1">
      <alignment horizontal="center" vertical="center"/>
    </xf>
    <xf numFmtId="0" fontId="51" fillId="7" borderId="1" xfId="7" applyFont="1" applyFill="1" applyBorder="1" applyAlignment="1">
      <alignment horizontal="center" vertical="center"/>
    </xf>
    <xf numFmtId="0" fontId="51" fillId="7" borderId="39" xfId="7" applyFont="1" applyFill="1" applyBorder="1" applyAlignment="1">
      <alignment horizontal="center" vertical="center"/>
    </xf>
    <xf numFmtId="0" fontId="81" fillId="0" borderId="128" xfId="0" applyFont="1" applyBorder="1" applyAlignment="1">
      <alignment horizontal="center" vertical="center" wrapText="1"/>
    </xf>
    <xf numFmtId="0" fontId="81" fillId="0" borderId="129" xfId="0" applyFont="1" applyBorder="1" applyAlignment="1">
      <alignment horizontal="center" vertical="center" wrapText="1"/>
    </xf>
    <xf numFmtId="0" fontId="80" fillId="0" borderId="130" xfId="0" applyFont="1" applyBorder="1" applyAlignment="1">
      <alignment horizontal="center" vertical="center"/>
    </xf>
    <xf numFmtId="0" fontId="80" fillId="0" borderId="131" xfId="0" applyFont="1" applyBorder="1" applyAlignment="1">
      <alignment horizontal="center" vertical="center"/>
    </xf>
    <xf numFmtId="0" fontId="80" fillId="0" borderId="132" xfId="0" applyFont="1" applyBorder="1" applyAlignment="1">
      <alignment horizontal="center" vertical="center"/>
    </xf>
    <xf numFmtId="0" fontId="9" fillId="0" borderId="65" xfId="6" applyBorder="1"/>
    <xf numFmtId="1" fontId="20" fillId="0" borderId="66" xfId="6" applyNumberFormat="1" applyFont="1" applyBorder="1" applyAlignment="1">
      <alignment horizontal="center"/>
    </xf>
    <xf numFmtId="1" fontId="20" fillId="0" borderId="65" xfId="6" applyNumberFormat="1" applyFont="1" applyBorder="1" applyAlignment="1">
      <alignment horizontal="center"/>
    </xf>
    <xf numFmtId="0" fontId="21" fillId="0" borderId="65" xfId="6" applyFont="1" applyBorder="1" applyAlignment="1">
      <alignment horizontal="center"/>
    </xf>
    <xf numFmtId="1" fontId="20" fillId="5" borderId="65" xfId="6" applyNumberFormat="1" applyFont="1" applyFill="1" applyBorder="1" applyAlignment="1">
      <alignment horizontal="center"/>
    </xf>
    <xf numFmtId="1" fontId="20" fillId="0" borderId="56" xfId="6" applyNumberFormat="1" applyFont="1" applyBorder="1" applyAlignment="1">
      <alignment horizontal="center"/>
    </xf>
    <xf numFmtId="0" fontId="9" fillId="0" borderId="56" xfId="6" applyBorder="1"/>
    <xf numFmtId="1" fontId="20" fillId="5" borderId="56" xfId="6" applyNumberFormat="1" applyFont="1" applyFill="1" applyBorder="1" applyAlignment="1">
      <alignment horizontal="center"/>
    </xf>
    <xf numFmtId="1" fontId="20" fillId="5" borderId="66" xfId="6" applyNumberFormat="1" applyFont="1" applyFill="1" applyBorder="1" applyAlignment="1">
      <alignment horizontal="center"/>
    </xf>
    <xf numFmtId="0" fontId="11" fillId="0" borderId="65" xfId="6" applyFont="1" applyFill="1" applyBorder="1"/>
    <xf numFmtId="0" fontId="21" fillId="0" borderId="65" xfId="6" applyFont="1" applyFill="1" applyBorder="1" applyAlignment="1">
      <alignment horizontal="center"/>
    </xf>
    <xf numFmtId="1" fontId="20" fillId="0" borderId="65" xfId="6" applyNumberFormat="1" applyFont="1" applyFill="1" applyBorder="1" applyAlignment="1">
      <alignment horizontal="center"/>
    </xf>
    <xf numFmtId="1" fontId="20" fillId="0" borderId="9" xfId="6" applyNumberFormat="1" applyFont="1" applyFill="1" applyBorder="1" applyAlignment="1">
      <alignment horizontal="center"/>
    </xf>
    <xf numFmtId="1" fontId="20" fillId="6" borderId="8" xfId="6" applyNumberFormat="1" applyFont="1" applyFill="1" applyBorder="1" applyAlignment="1">
      <alignment horizontal="center"/>
    </xf>
    <xf numFmtId="0" fontId="21" fillId="0" borderId="11" xfId="6" applyFont="1" applyFill="1" applyBorder="1" applyAlignment="1">
      <alignment horizontal="center"/>
    </xf>
    <xf numFmtId="0" fontId="21" fillId="0" borderId="16" xfId="6" applyFont="1" applyFill="1" applyBorder="1" applyAlignment="1">
      <alignment horizontal="center"/>
    </xf>
    <xf numFmtId="1" fontId="20" fillId="7" borderId="16" xfId="6" applyNumberFormat="1" applyFont="1" applyFill="1" applyBorder="1" applyAlignment="1">
      <alignment horizontal="center"/>
    </xf>
    <xf numFmtId="1" fontId="20" fillId="7" borderId="11" xfId="6" applyNumberFormat="1" applyFont="1" applyFill="1" applyBorder="1" applyAlignment="1">
      <alignment horizontal="center"/>
    </xf>
    <xf numFmtId="1" fontId="20" fillId="0" borderId="23" xfId="6" applyNumberFormat="1" applyFont="1" applyFill="1" applyBorder="1" applyAlignment="1">
      <alignment horizontal="center"/>
    </xf>
    <xf numFmtId="1" fontId="20" fillId="0" borderId="11" xfId="6" applyNumberFormat="1" applyFont="1" applyFill="1" applyBorder="1" applyAlignment="1">
      <alignment horizontal="center"/>
    </xf>
    <xf numFmtId="1" fontId="20" fillId="0" borderId="16" xfId="6" applyNumberFormat="1" applyFont="1" applyFill="1" applyBorder="1" applyAlignment="1">
      <alignment horizontal="center"/>
    </xf>
    <xf numFmtId="0" fontId="44" fillId="34" borderId="93" xfId="7" applyFont="1" applyFill="1" applyBorder="1" applyAlignment="1">
      <alignment horizontal="center" vertical="center"/>
    </xf>
    <xf numFmtId="0" fontId="44" fillId="34" borderId="0" xfId="7" applyFont="1" applyFill="1" applyBorder="1" applyAlignment="1">
      <alignment horizontal="center" vertical="center"/>
    </xf>
    <xf numFmtId="49" fontId="24" fillId="33" borderId="22" xfId="7" applyNumberFormat="1" applyFill="1" applyBorder="1" applyAlignment="1">
      <alignment horizontal="center" vertical="center"/>
    </xf>
    <xf numFmtId="49" fontId="24" fillId="33" borderId="23" xfId="7" applyNumberFormat="1" applyFill="1" applyBorder="1" applyAlignment="1">
      <alignment horizontal="center" vertical="center"/>
    </xf>
    <xf numFmtId="0" fontId="24" fillId="0" borderId="23" xfId="7" applyBorder="1"/>
    <xf numFmtId="9" fontId="82" fillId="0" borderId="0" xfId="0" applyNumberFormat="1" applyFont="1" applyAlignment="1">
      <alignment horizontal="center"/>
    </xf>
    <xf numFmtId="0" fontId="71" fillId="0" borderId="0" xfId="0" applyFont="1" applyAlignment="1">
      <alignment vertical="top" wrapText="1"/>
    </xf>
    <xf numFmtId="0" fontId="71" fillId="0" borderId="40" xfId="0" applyFont="1" applyBorder="1" applyAlignment="1">
      <alignment horizontal="center" vertical="center"/>
    </xf>
    <xf numFmtId="0" fontId="79" fillId="3" borderId="42" xfId="0" applyFont="1" applyFill="1" applyBorder="1" applyAlignment="1">
      <alignment vertical="center"/>
    </xf>
    <xf numFmtId="0" fontId="71" fillId="0" borderId="36" xfId="0" applyFont="1" applyBorder="1" applyAlignment="1">
      <alignment horizontal="center" vertical="center"/>
    </xf>
    <xf numFmtId="0" fontId="71" fillId="0" borderId="0" xfId="0" applyFont="1" applyBorder="1" applyAlignment="1">
      <alignment vertical="center"/>
    </xf>
    <xf numFmtId="0" fontId="76" fillId="0" borderId="37" xfId="0" applyFont="1" applyBorder="1" applyAlignment="1">
      <alignment vertical="center"/>
    </xf>
    <xf numFmtId="0" fontId="71" fillId="0" borderId="36" xfId="0" applyFont="1" applyBorder="1" applyAlignment="1">
      <alignment vertical="center"/>
    </xf>
    <xf numFmtId="0" fontId="71" fillId="0" borderId="37" xfId="0" applyFont="1" applyBorder="1" applyAlignment="1">
      <alignment vertical="center"/>
    </xf>
    <xf numFmtId="0" fontId="73" fillId="0" borderId="0" xfId="0" applyFont="1" applyBorder="1" applyAlignment="1">
      <alignment horizontal="center" vertical="center"/>
    </xf>
    <xf numFmtId="164" fontId="71" fillId="0" borderId="37" xfId="0" applyNumberFormat="1" applyFont="1" applyBorder="1" applyAlignment="1">
      <alignment horizontal="center" vertical="center"/>
    </xf>
    <xf numFmtId="164" fontId="75" fillId="0" borderId="37" xfId="0" applyNumberFormat="1" applyFont="1" applyBorder="1" applyAlignment="1">
      <alignment horizontal="center" vertical="center"/>
    </xf>
    <xf numFmtId="182" fontId="71" fillId="0" borderId="37" xfId="0" applyNumberFormat="1" applyFont="1" applyBorder="1" applyAlignment="1">
      <alignment horizontal="center" vertical="center"/>
    </xf>
    <xf numFmtId="0" fontId="71" fillId="0" borderId="0" xfId="0" applyFont="1" applyBorder="1" applyAlignment="1">
      <alignment horizontal="right" vertical="center"/>
    </xf>
    <xf numFmtId="0" fontId="71" fillId="0" borderId="37" xfId="0" applyFont="1" applyBorder="1" applyAlignment="1">
      <alignment horizontal="left" vertical="center"/>
    </xf>
    <xf numFmtId="0" fontId="71" fillId="0" borderId="37" xfId="0" applyFont="1" applyBorder="1" applyAlignment="1">
      <alignment horizontal="left" vertical="center" wrapText="1"/>
    </xf>
    <xf numFmtId="0" fontId="86" fillId="0" borderId="36" xfId="12" applyFont="1" applyBorder="1" applyAlignment="1">
      <alignment horizontal="left" vertical="center"/>
    </xf>
    <xf numFmtId="0" fontId="71" fillId="0" borderId="36" xfId="0" applyFont="1" applyBorder="1" applyAlignment="1">
      <alignment horizontal="left" vertical="center"/>
    </xf>
    <xf numFmtId="0" fontId="86" fillId="0" borderId="36" xfId="12" applyFont="1" applyBorder="1" applyAlignment="1">
      <alignment horizontal="center" vertical="center"/>
    </xf>
    <xf numFmtId="0" fontId="71" fillId="0" borderId="38" xfId="0" applyFont="1" applyBorder="1" applyAlignment="1">
      <alignment horizontal="left" vertical="center"/>
    </xf>
    <xf numFmtId="0" fontId="71" fillId="0" borderId="39" xfId="0" applyFont="1" applyBorder="1" applyAlignment="1">
      <alignment horizontal="left" vertical="center"/>
    </xf>
    <xf numFmtId="0" fontId="77" fillId="32" borderId="40" xfId="0" applyFont="1" applyFill="1" applyBorder="1" applyAlignment="1">
      <alignment horizontal="left" vertical="center"/>
    </xf>
    <xf numFmtId="0" fontId="77" fillId="32" borderId="42" xfId="0" applyFont="1" applyFill="1" applyBorder="1" applyAlignment="1">
      <alignment horizontal="left" vertical="center"/>
    </xf>
    <xf numFmtId="0" fontId="75" fillId="0" borderId="36" xfId="0" applyFont="1" applyBorder="1" applyAlignment="1">
      <alignment vertical="center"/>
    </xf>
    <xf numFmtId="0" fontId="71" fillId="0" borderId="36" xfId="0" applyFont="1" applyBorder="1" applyAlignment="1">
      <alignment horizontal="left" vertical="top" wrapText="1"/>
    </xf>
    <xf numFmtId="0" fontId="71" fillId="0" borderId="37" xfId="0" applyFont="1" applyBorder="1" applyAlignment="1">
      <alignment horizontal="left" vertical="top" wrapText="1"/>
    </xf>
    <xf numFmtId="0" fontId="71" fillId="0" borderId="38" xfId="0" applyFont="1" applyBorder="1" applyAlignment="1">
      <alignment horizontal="left" vertical="top" wrapText="1"/>
    </xf>
    <xf numFmtId="0" fontId="71" fillId="0" borderId="39" xfId="0" applyFont="1" applyBorder="1" applyAlignment="1">
      <alignment horizontal="left" vertical="top" wrapText="1"/>
    </xf>
    <xf numFmtId="0" fontId="78" fillId="33" borderId="40" xfId="0" applyFont="1" applyFill="1" applyBorder="1" applyAlignment="1">
      <alignment horizontal="center" vertical="center"/>
    </xf>
    <xf numFmtId="0" fontId="78" fillId="33" borderId="42" xfId="0" applyFont="1" applyFill="1" applyBorder="1" applyAlignment="1">
      <alignment horizontal="center" vertical="center"/>
    </xf>
    <xf numFmtId="0" fontId="72" fillId="0" borderId="36" xfId="0" applyFont="1" applyBorder="1" applyAlignment="1">
      <alignment horizontal="center" vertical="center"/>
    </xf>
    <xf numFmtId="0" fontId="72" fillId="0" borderId="37" xfId="0" applyFont="1" applyBorder="1" applyAlignment="1">
      <alignment horizontal="center" vertical="center"/>
    </xf>
    <xf numFmtId="3" fontId="71" fillId="0" borderId="37" xfId="0" applyNumberFormat="1" applyFont="1" applyBorder="1" applyAlignment="1">
      <alignment horizontal="center" vertical="center"/>
    </xf>
    <xf numFmtId="3" fontId="75" fillId="0" borderId="37" xfId="0" applyNumberFormat="1" applyFont="1" applyBorder="1" applyAlignment="1">
      <alignment horizontal="center" vertical="center"/>
    </xf>
    <xf numFmtId="0" fontId="71" fillId="0" borderId="37" xfId="0" applyFont="1" applyBorder="1" applyAlignment="1">
      <alignment horizontal="center" vertical="center"/>
    </xf>
    <xf numFmtId="3" fontId="71" fillId="0" borderId="37" xfId="0" applyNumberFormat="1" applyFont="1" applyBorder="1" applyAlignment="1">
      <alignment vertical="center"/>
    </xf>
    <xf numFmtId="0" fontId="75" fillId="0" borderId="37" xfId="0" applyFont="1" applyBorder="1" applyAlignment="1">
      <alignment horizontal="center" vertical="center"/>
    </xf>
    <xf numFmtId="0" fontId="71" fillId="0" borderId="36" xfId="0" applyFont="1" applyBorder="1" applyAlignment="1">
      <alignment horizontal="left" vertical="center"/>
    </xf>
    <xf numFmtId="177" fontId="71" fillId="0" borderId="37" xfId="0" applyNumberFormat="1" applyFont="1" applyBorder="1" applyAlignment="1">
      <alignment horizontal="center" vertical="center"/>
    </xf>
    <xf numFmtId="175" fontId="71" fillId="0" borderId="37" xfId="11" applyNumberFormat="1" applyFont="1" applyBorder="1" applyAlignment="1">
      <alignment horizontal="center" vertical="center"/>
    </xf>
    <xf numFmtId="0" fontId="75" fillId="0" borderId="36" xfId="0" applyFont="1" applyBorder="1" applyAlignment="1">
      <alignment horizontal="left" vertical="center"/>
    </xf>
    <xf numFmtId="177" fontId="75" fillId="0" borderId="37" xfId="0" applyNumberFormat="1" applyFont="1" applyBorder="1" applyAlignment="1">
      <alignment horizontal="center" vertical="center"/>
    </xf>
    <xf numFmtId="0" fontId="71" fillId="0" borderId="38" xfId="0" applyFont="1" applyBorder="1" applyAlignment="1">
      <alignment vertical="center"/>
    </xf>
    <xf numFmtId="177" fontId="71" fillId="0" borderId="39" xfId="0" applyNumberFormat="1" applyFont="1" applyBorder="1" applyAlignment="1">
      <alignment horizontal="center" vertical="center"/>
    </xf>
    <xf numFmtId="0" fontId="72" fillId="32" borderId="40" xfId="0" applyFont="1" applyFill="1" applyBorder="1" applyAlignment="1">
      <alignment horizontal="center" vertical="center"/>
    </xf>
    <xf numFmtId="0" fontId="72" fillId="32" borderId="42" xfId="0" applyFont="1" applyFill="1" applyBorder="1" applyAlignment="1">
      <alignment horizontal="center" vertical="center"/>
    </xf>
    <xf numFmtId="1" fontId="71" fillId="0" borderId="37" xfId="0" applyNumberFormat="1" applyFont="1" applyBorder="1" applyAlignment="1">
      <alignment horizontal="center" vertical="center"/>
    </xf>
    <xf numFmtId="1" fontId="75" fillId="0" borderId="37" xfId="0" applyNumberFormat="1" applyFont="1" applyBorder="1" applyAlignment="1">
      <alignment horizontal="center" vertical="center"/>
    </xf>
    <xf numFmtId="175" fontId="71" fillId="0" borderId="39" xfId="11" applyNumberFormat="1" applyFont="1" applyBorder="1" applyAlignment="1">
      <alignment horizontal="center" vertical="center"/>
    </xf>
    <xf numFmtId="0" fontId="73" fillId="33" borderId="33" xfId="0" applyFont="1" applyFill="1" applyBorder="1" applyAlignment="1">
      <alignment horizontal="left" vertical="center"/>
    </xf>
    <xf numFmtId="0" fontId="73" fillId="33" borderId="35" xfId="0" applyFont="1" applyFill="1" applyBorder="1" applyAlignment="1">
      <alignment horizontal="left" vertical="center"/>
    </xf>
    <xf numFmtId="0" fontId="71" fillId="0" borderId="77" xfId="0" applyFont="1" applyBorder="1" applyAlignment="1">
      <alignment vertical="center"/>
    </xf>
    <xf numFmtId="0" fontId="71" fillId="0" borderId="79" xfId="0" applyFont="1" applyBorder="1" applyAlignment="1">
      <alignment vertical="center"/>
    </xf>
    <xf numFmtId="0" fontId="71" fillId="0" borderId="79" xfId="0" applyFont="1" applyBorder="1" applyAlignment="1">
      <alignment horizontal="center" vertical="center"/>
    </xf>
    <xf numFmtId="0" fontId="71" fillId="0" borderId="77" xfId="0" applyFont="1" applyBorder="1" applyAlignment="1">
      <alignment horizontal="left" vertical="center"/>
    </xf>
    <xf numFmtId="177" fontId="71" fillId="0" borderId="79" xfId="0" applyNumberFormat="1" applyFont="1" applyBorder="1" applyAlignment="1">
      <alignment horizontal="center" vertical="center"/>
    </xf>
    <xf numFmtId="0" fontId="73" fillId="33" borderId="33" xfId="0" applyFont="1" applyFill="1" applyBorder="1" applyAlignment="1">
      <alignment horizontal="left" vertical="center"/>
    </xf>
    <xf numFmtId="0" fontId="73" fillId="33" borderId="35" xfId="0" applyFont="1" applyFill="1" applyBorder="1" applyAlignment="1">
      <alignment horizontal="left" vertical="center"/>
    </xf>
    <xf numFmtId="175" fontId="89" fillId="0" borderId="79" xfId="11" applyNumberFormat="1" applyFont="1" applyBorder="1" applyAlignment="1">
      <alignment horizontal="center" vertical="center"/>
    </xf>
    <xf numFmtId="0" fontId="77" fillId="32" borderId="33" xfId="0" applyFont="1" applyFill="1" applyBorder="1" applyAlignment="1">
      <alignment horizontal="left" vertical="center"/>
    </xf>
    <xf numFmtId="0" fontId="77" fillId="32" borderId="35" xfId="0" applyFont="1" applyFill="1" applyBorder="1" applyAlignment="1">
      <alignment horizontal="left" vertical="center"/>
    </xf>
    <xf numFmtId="0" fontId="77" fillId="32" borderId="33" xfId="0" applyFont="1" applyFill="1" applyBorder="1" applyAlignment="1">
      <alignment horizontal="left" vertical="center"/>
    </xf>
    <xf numFmtId="0" fontId="77" fillId="32" borderId="35" xfId="0" applyFont="1" applyFill="1" applyBorder="1" applyAlignment="1">
      <alignment horizontal="left" vertical="center"/>
    </xf>
    <xf numFmtId="0" fontId="77" fillId="32" borderId="35" xfId="0" applyFont="1" applyFill="1" applyBorder="1" applyAlignment="1">
      <alignment horizontal="center" vertical="center"/>
    </xf>
    <xf numFmtId="0" fontId="72" fillId="3" borderId="40" xfId="0" applyFont="1" applyFill="1" applyBorder="1" applyAlignment="1">
      <alignment horizontal="center" vertical="center"/>
    </xf>
    <xf numFmtId="0" fontId="72" fillId="3" borderId="41" xfId="0" applyFont="1" applyFill="1" applyBorder="1" applyAlignment="1">
      <alignment horizontal="center" vertical="center"/>
    </xf>
    <xf numFmtId="0" fontId="72" fillId="3" borderId="42" xfId="0" applyFont="1" applyFill="1" applyBorder="1" applyAlignment="1">
      <alignment horizontal="center" vertical="center"/>
    </xf>
    <xf numFmtId="0" fontId="72" fillId="3" borderId="38" xfId="0" applyFont="1" applyFill="1" applyBorder="1" applyAlignment="1">
      <alignment horizontal="center" vertical="center"/>
    </xf>
    <xf numFmtId="0" fontId="72" fillId="3" borderId="1" xfId="0" applyFont="1" applyFill="1" applyBorder="1" applyAlignment="1">
      <alignment horizontal="center" vertical="center"/>
    </xf>
    <xf numFmtId="0" fontId="72" fillId="3" borderId="39" xfId="0" applyFont="1" applyFill="1" applyBorder="1" applyAlignment="1">
      <alignment horizontal="center" vertical="center"/>
    </xf>
    <xf numFmtId="14" fontId="89" fillId="28" borderId="0" xfId="0" applyNumberFormat="1" applyFont="1" applyFill="1" applyAlignment="1">
      <alignment horizontal="left" vertical="center"/>
    </xf>
    <xf numFmtId="0" fontId="90" fillId="0" borderId="79" xfId="0" applyFont="1" applyBorder="1" applyAlignment="1">
      <alignment horizontal="center" vertical="center"/>
    </xf>
    <xf numFmtId="0" fontId="24" fillId="0" borderId="0" xfId="7" applyAlignment="1">
      <alignment horizontal="center"/>
    </xf>
    <xf numFmtId="0" fontId="71" fillId="0" borderId="37" xfId="0" applyFont="1" applyBorder="1" applyAlignment="1">
      <alignment horizontal="center" vertical="center"/>
    </xf>
    <xf numFmtId="0" fontId="71" fillId="0" borderId="36" xfId="0" applyFont="1" applyBorder="1" applyAlignment="1">
      <alignment horizontal="left" vertical="center" wrapText="1"/>
    </xf>
    <xf numFmtId="0" fontId="71" fillId="0" borderId="77" xfId="0" applyFont="1" applyBorder="1" applyAlignment="1">
      <alignment horizontal="left" vertical="center" wrapText="1"/>
    </xf>
    <xf numFmtId="0" fontId="71" fillId="0" borderId="79" xfId="0" applyFont="1" applyBorder="1" applyAlignment="1">
      <alignment horizontal="left" vertical="center" wrapText="1"/>
    </xf>
    <xf numFmtId="0" fontId="75" fillId="0" borderId="77" xfId="0" applyFont="1" applyBorder="1" applyAlignment="1">
      <alignment vertical="center"/>
    </xf>
    <xf numFmtId="164" fontId="71" fillId="0" borderId="79" xfId="0" applyNumberFormat="1" applyFont="1" applyBorder="1" applyAlignment="1">
      <alignment horizontal="center" vertical="center"/>
    </xf>
    <xf numFmtId="0" fontId="74" fillId="0" borderId="0" xfId="0" applyFont="1" applyBorder="1" applyAlignment="1">
      <alignment vertical="center"/>
    </xf>
    <xf numFmtId="0" fontId="71" fillId="0" borderId="42" xfId="0" applyFont="1" applyBorder="1" applyAlignment="1">
      <alignment horizontal="center" vertical="center"/>
    </xf>
    <xf numFmtId="0" fontId="77" fillId="3" borderId="33" xfId="0" applyFont="1" applyFill="1" applyBorder="1" applyAlignment="1">
      <alignment horizontal="left" vertical="center"/>
    </xf>
    <xf numFmtId="0" fontId="77" fillId="3" borderId="35" xfId="0" applyFont="1" applyFill="1" applyBorder="1" applyAlignment="1">
      <alignment horizontal="left" vertical="center"/>
    </xf>
    <xf numFmtId="0" fontId="75" fillId="0" borderId="79" xfId="0" applyFont="1" applyBorder="1" applyAlignment="1">
      <alignment vertical="center"/>
    </xf>
    <xf numFmtId="0" fontId="75" fillId="0" borderId="37" xfId="0" applyFont="1" applyBorder="1" applyAlignment="1">
      <alignment vertical="center"/>
    </xf>
    <xf numFmtId="0" fontId="87" fillId="0" borderId="79" xfId="0" applyFont="1" applyBorder="1" applyAlignment="1">
      <alignment vertical="center"/>
    </xf>
    <xf numFmtId="0" fontId="86" fillId="0" borderId="37" xfId="12" applyFont="1" applyBorder="1" applyAlignment="1">
      <alignment horizontal="left" vertical="center"/>
    </xf>
    <xf numFmtId="0" fontId="86" fillId="0" borderId="77" xfId="12" applyFont="1" applyBorder="1" applyAlignment="1">
      <alignment horizontal="left" vertical="center"/>
    </xf>
    <xf numFmtId="0" fontId="86" fillId="0" borderId="79" xfId="12" applyFont="1" applyBorder="1" applyAlignment="1">
      <alignment horizontal="left" vertical="center"/>
    </xf>
    <xf numFmtId="0" fontId="86" fillId="0" borderId="37" xfId="12" applyFont="1" applyBorder="1" applyAlignment="1">
      <alignment horizontal="center" vertical="center"/>
    </xf>
    <xf numFmtId="0" fontId="77" fillId="3" borderId="40" xfId="0" applyFont="1" applyFill="1" applyBorder="1" applyAlignment="1">
      <alignment vertical="center"/>
    </xf>
    <xf numFmtId="0" fontId="76" fillId="0" borderId="77" xfId="0" applyFont="1" applyBorder="1" applyAlignment="1">
      <alignment vertical="center"/>
    </xf>
    <xf numFmtId="0" fontId="76" fillId="0" borderId="79" xfId="0" applyFont="1" applyBorder="1" applyAlignment="1">
      <alignment vertical="center"/>
    </xf>
    <xf numFmtId="0" fontId="77" fillId="3" borderId="33" xfId="0" applyFont="1" applyFill="1" applyBorder="1" applyAlignment="1">
      <alignment vertical="center"/>
    </xf>
    <xf numFmtId="0" fontId="79" fillId="3" borderId="35" xfId="0" applyFont="1" applyFill="1" applyBorder="1" applyAlignment="1">
      <alignment vertical="center"/>
    </xf>
    <xf numFmtId="164" fontId="75" fillId="0" borderId="79" xfId="0" applyNumberFormat="1" applyFont="1" applyBorder="1" applyAlignment="1">
      <alignment horizontal="center" vertical="center"/>
    </xf>
    <xf numFmtId="0" fontId="78" fillId="33" borderId="38" xfId="0" applyFont="1" applyFill="1" applyBorder="1" applyAlignment="1">
      <alignment horizontal="center" vertical="center"/>
    </xf>
    <xf numFmtId="0" fontId="78" fillId="33" borderId="39" xfId="0" applyFont="1" applyFill="1" applyBorder="1" applyAlignment="1">
      <alignment horizontal="center" vertical="center"/>
    </xf>
    <xf numFmtId="0" fontId="72" fillId="32" borderId="38" xfId="0" applyFont="1" applyFill="1" applyBorder="1" applyAlignment="1">
      <alignment horizontal="center" vertical="center"/>
    </xf>
    <xf numFmtId="0" fontId="72" fillId="32" borderId="39" xfId="0" applyFont="1" applyFill="1" applyBorder="1" applyAlignment="1">
      <alignment horizontal="center" vertical="center"/>
    </xf>
  </cellXfs>
  <cellStyles count="13">
    <cellStyle name="Čárka 2" xfId="9" xr:uid="{C71FE3F3-4EA7-4F7B-B85A-E1E282B71AE3}"/>
    <cellStyle name="Hypertextový odkaz" xfId="12" builtinId="8"/>
    <cellStyle name="Měna 2" xfId="8" xr:uid="{D42CC7CB-D276-48B9-A8F4-9D7DA410B5F3}"/>
    <cellStyle name="Normal 2" xfId="1" xr:uid="{F4D80C21-3033-429E-BD51-9322B3B4806D}"/>
    <cellStyle name="Normal 3" xfId="2" xr:uid="{37660F0D-39EA-4685-991D-CE3D4FC98FDA}"/>
    <cellStyle name="Normální" xfId="0" builtinId="0"/>
    <cellStyle name="Normální 2" xfId="4" xr:uid="{3D913FE5-034B-4A33-B18E-171EBD81D273}"/>
    <cellStyle name="Normální 2 2" xfId="6" xr:uid="{6C92E48A-770E-4E1D-A889-91E854CE699A}"/>
    <cellStyle name="Normální 2 3" xfId="7" xr:uid="{BA804E81-391B-41B1-B606-569CAA942991}"/>
    <cellStyle name="Normální 3" xfId="5" xr:uid="{103A9907-279B-479F-9C8E-0D8594FFAA32}"/>
    <cellStyle name="Percent 2" xfId="3" xr:uid="{A139C9E0-0948-4B90-BB36-BCC5058812AE}"/>
    <cellStyle name="Procenta" xfId="11" builtinId="5"/>
    <cellStyle name="Procenta 2" xfId="10" xr:uid="{531565E4-3F0C-44C8-B20A-EE3B15C88EED}"/>
  </cellStyles>
  <dxfs count="7">
    <dxf>
      <fill>
        <patternFill patternType="solid">
          <fgColor rgb="FFE2EFDA"/>
          <bgColor rgb="FFE2EFDA"/>
        </patternFill>
      </fill>
    </dxf>
    <dxf>
      <fill>
        <patternFill patternType="solid">
          <fgColor rgb="FFE2EFDA"/>
          <bgColor rgb="FFE2EFDA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70AD47"/>
        </top>
      </border>
    </dxf>
    <dxf>
      <font>
        <b/>
        <color rgb="FFFFFFFF"/>
      </font>
      <fill>
        <patternFill patternType="solid">
          <fgColor rgb="FF70AD47"/>
          <bgColor rgb="FF70AD47"/>
        </patternFill>
      </fill>
    </dxf>
    <dxf>
      <font>
        <color rgb="FF000000"/>
      </font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</dxfs>
  <tableStyles count="1" defaultTableStyle="TableStyleMedium2" defaultPivotStyle="PivotStyleLight16">
    <tableStyle name="TableStyleMedium7 2" pivot="0" count="7" xr9:uid="{6E21F250-FF9B-4CA7-A1A6-84A7B4CF1F37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FFFFCC"/>
      <color rgb="FFC48B36"/>
      <color rgb="FFFFF8DD"/>
      <color rgb="FFFFEEB7"/>
      <color rgb="FFFFF3C5"/>
      <color rgb="FF875F25"/>
      <color rgb="FFFFE1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22/10/relationships/richValueRel" Target="richData/richValueRel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microsoft.com/office/2017/06/relationships/rdRichValue" Target="richData/rdrichvalue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952500</xdr:colOff>
      <xdr:row>5</xdr:row>
      <xdr:rowOff>39221</xdr:rowOff>
    </xdr:from>
    <xdr:to>
      <xdr:col>2</xdr:col>
      <xdr:colOff>558303</xdr:colOff>
      <xdr:row>6</xdr:row>
      <xdr:rowOff>174859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D0D5DCD-C96E-7D78-6B76-5D183891A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0309" y="868456"/>
          <a:ext cx="1790950" cy="3429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191559</xdr:rowOff>
    </xdr:from>
    <xdr:to>
      <xdr:col>0</xdr:col>
      <xdr:colOff>1957712</xdr:colOff>
      <xdr:row>1</xdr:row>
      <xdr:rowOff>406401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7A032B7-ED2B-4EBB-AF2C-4ACA8BF46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91584"/>
          <a:ext cx="1833887" cy="2148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niela Cepcekova" id="{7A484945-CE71-4F4D-B628-B1D3FC45DA84}" userId="Daniela Cepcekova" providerId="None"/>
</personList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5">
  <rv s="0">
    <v>0</v>
    <v>5</v>
  </rv>
  <rv s="0">
    <v>1</v>
    <v>5</v>
  </rv>
  <rv s="0">
    <v>2</v>
    <v>5</v>
  </rv>
  <rv s="0">
    <v>3</v>
    <v>5</v>
  </rv>
  <rv s="0">
    <v>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26" dT="2025-09-16T14:23:37.89" personId="{7A484945-CE71-4F4D-B628-B1D3FC45DA84}" id="{4EEE4E7C-3D80-4EE2-9CD3-B4C0434544BF}">
    <text>Počítané je jedno NP ako jeden priestor.</text>
  </threadedComment>
  <threadedComment ref="L27" dT="2025-09-16T14:23:37.89" personId="{7A484945-CE71-4F4D-B628-B1D3FC45DA84}" id="{F4C76B03-8845-4DA9-AB02-86DDAB80064B}">
    <text>Počítané je jedno NP ako jeden priestor.</text>
  </threadedComment>
  <threadedComment ref="O27" dT="2025-09-16T14:23:37.89" personId="{7A484945-CE71-4F4D-B628-B1D3FC45DA84}" id="{7ECADBCF-DB67-4AC7-BABF-EF73DE674BEF}">
    <text>Počítané je jedno NP ako jeden priestor.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hyperlink" Target="https://maps.app.goo.gl/7zBSyG3efkFerg8R8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centraeu-my.sharepoint.com/:f:/r/personal/appkovaku_centra_eu/Documents/General/3_%C3%9A%C4%8Detn%C3%AD%20a%20da%C5%88ov%C3%A9%20DD?csf=1&amp;web=1&amp;e=kWVMPJ" TargetMode="External"/><Relationship Id="rId1" Type="http://schemas.openxmlformats.org/officeDocument/2006/relationships/hyperlink" Target="https://centraeu-my.sharepoint.com/:f:/r/personal/appkovaku_centra_eu/Documents/General/2_Technick%C3%A9%20DD?csf=1&amp;web=1&amp;e=3h50S0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96267-9D98-4D8A-A983-94AC5E44CF7D}">
  <sheetPr>
    <tabColor rgb="FF875F25"/>
  </sheetPr>
  <dimension ref="B1:O54"/>
  <sheetViews>
    <sheetView tabSelected="1" zoomScaleNormal="100" workbookViewId="0">
      <selection activeCell="H47" sqref="H47"/>
    </sheetView>
  </sheetViews>
  <sheetFormatPr baseColWidth="10" defaultColWidth="9.1640625" defaultRowHeight="16.5" customHeight="1"/>
  <cols>
    <col min="1" max="1" width="5.5" style="1331" customWidth="1"/>
    <col min="2" max="2" width="30.5" style="1331" customWidth="1"/>
    <col min="3" max="3" width="20.5" style="1331" customWidth="1"/>
    <col min="4" max="4" width="5.5" style="1331" customWidth="1"/>
    <col min="5" max="5" width="30.5" style="1331" customWidth="1"/>
    <col min="6" max="6" width="20.5" style="1331" customWidth="1"/>
    <col min="7" max="7" width="5.5" style="1331" customWidth="1"/>
    <col min="8" max="8" width="30.6640625" style="1331" customWidth="1"/>
    <col min="9" max="9" width="20.6640625" style="1331" customWidth="1"/>
    <col min="10" max="10" width="5.6640625" style="1331" customWidth="1"/>
    <col min="11" max="11" width="30.5" style="1331" customWidth="1"/>
    <col min="12" max="12" width="20.5" style="1331" customWidth="1"/>
    <col min="13" max="13" width="5.5" style="1331" customWidth="1"/>
    <col min="14" max="14" width="30.5" style="1331" customWidth="1"/>
    <col min="15" max="15" width="20.5" style="1331" customWidth="1"/>
    <col min="16" max="16" width="5.5" style="1331" customWidth="1"/>
    <col min="17" max="16384" width="9.1640625" style="1331"/>
  </cols>
  <sheetData>
    <row r="1" spans="2:15" ht="16.5" customHeight="1">
      <c r="B1" s="1331" t="s">
        <v>566</v>
      </c>
      <c r="C1" s="1636">
        <v>45956</v>
      </c>
    </row>
    <row r="2" spans="2:15" ht="16.5" customHeight="1" thickBot="1"/>
    <row r="3" spans="2:15" ht="16.5" customHeight="1">
      <c r="B3" s="1630" t="s">
        <v>2</v>
      </c>
      <c r="C3" s="1631"/>
      <c r="D3" s="1631"/>
      <c r="E3" s="1631"/>
      <c r="F3" s="1632"/>
      <c r="G3" s="1337"/>
      <c r="H3" s="1337"/>
      <c r="I3" s="1337"/>
      <c r="J3" s="1337"/>
      <c r="K3" s="1594" t="s">
        <v>476</v>
      </c>
      <c r="L3" s="1595"/>
      <c r="M3" s="1335"/>
      <c r="N3" s="1610" t="s">
        <v>477</v>
      </c>
      <c r="O3" s="1611"/>
    </row>
    <row r="4" spans="2:15" ht="16.5" customHeight="1" thickBot="1">
      <c r="B4" s="1633"/>
      <c r="C4" s="1634"/>
      <c r="D4" s="1634"/>
      <c r="E4" s="1634"/>
      <c r="F4" s="1635"/>
      <c r="G4" s="1337"/>
      <c r="H4" s="1337"/>
      <c r="I4" s="1337"/>
      <c r="J4" s="1337"/>
      <c r="K4" s="1662"/>
      <c r="L4" s="1663"/>
      <c r="M4" s="1335"/>
      <c r="N4" s="1664"/>
      <c r="O4" s="1665"/>
    </row>
    <row r="5" spans="2:15" ht="16.5" customHeight="1" thickBot="1">
      <c r="B5" s="1330"/>
      <c r="C5" s="1330"/>
      <c r="D5" s="1330"/>
      <c r="E5" s="1332"/>
      <c r="F5" s="1332"/>
      <c r="G5" s="1330"/>
      <c r="H5" s="1332"/>
      <c r="I5" s="1332"/>
      <c r="J5" s="1330"/>
      <c r="K5" s="1596"/>
      <c r="L5" s="1597"/>
      <c r="M5" s="1330"/>
      <c r="N5" s="1596"/>
      <c r="O5" s="1597"/>
    </row>
    <row r="6" spans="2:15" ht="16.5" customHeight="1">
      <c r="B6" s="1568"/>
      <c r="C6" s="1646"/>
      <c r="D6" s="1645"/>
      <c r="E6" s="1656" t="s">
        <v>512</v>
      </c>
      <c r="F6" s="1569"/>
      <c r="G6" s="1334"/>
      <c r="H6" s="1587" t="s">
        <v>524</v>
      </c>
      <c r="I6" s="1588"/>
      <c r="J6" s="1334"/>
      <c r="K6" s="1615" t="s">
        <v>457</v>
      </c>
      <c r="L6" s="1616"/>
      <c r="N6" s="1625" t="s">
        <v>457</v>
      </c>
      <c r="O6" s="1626"/>
    </row>
    <row r="7" spans="2:15" ht="16.5" customHeight="1">
      <c r="B7" s="1570"/>
      <c r="C7" s="1639"/>
      <c r="D7" s="1571"/>
      <c r="E7" s="1657" t="s">
        <v>529</v>
      </c>
      <c r="F7" s="1658"/>
      <c r="H7" s="1640" t="s">
        <v>573</v>
      </c>
      <c r="I7" s="1581"/>
      <c r="K7" s="1617" t="s">
        <v>557</v>
      </c>
      <c r="L7" s="1618"/>
      <c r="N7" s="1617" t="s">
        <v>564</v>
      </c>
      <c r="O7" s="1618"/>
    </row>
    <row r="8" spans="2:15" ht="16.5" customHeight="1">
      <c r="B8" s="1573"/>
      <c r="C8" s="1574"/>
      <c r="D8" s="1571"/>
      <c r="E8" s="1573"/>
      <c r="F8" s="1574"/>
      <c r="H8" s="1641"/>
      <c r="I8" s="1642"/>
      <c r="K8" s="1573"/>
      <c r="L8" s="1574"/>
      <c r="N8" s="1573"/>
      <c r="O8" s="1574"/>
    </row>
    <row r="9" spans="2:15" ht="16.5" customHeight="1">
      <c r="B9" s="1647" t="s">
        <v>0</v>
      </c>
      <c r="C9" s="1648"/>
      <c r="D9" s="1575"/>
      <c r="E9" s="1659" t="s">
        <v>507</v>
      </c>
      <c r="F9" s="1660"/>
      <c r="G9" s="1336"/>
      <c r="H9" s="1625" t="s">
        <v>513</v>
      </c>
      <c r="I9" s="1626"/>
      <c r="J9" s="1336"/>
      <c r="K9" s="1615" t="s">
        <v>456</v>
      </c>
      <c r="L9" s="1616"/>
      <c r="M9" s="1334"/>
      <c r="N9" s="1625" t="s">
        <v>456</v>
      </c>
      <c r="O9" s="1626"/>
    </row>
    <row r="10" spans="2:15" ht="16.5" customHeight="1">
      <c r="B10" s="1617" t="s">
        <v>1</v>
      </c>
      <c r="C10" s="1649" t="s">
        <v>2</v>
      </c>
      <c r="D10" s="1571"/>
      <c r="E10" s="1573" t="s">
        <v>446</v>
      </c>
      <c r="F10" s="1576">
        <f>HMG!$Q$10</f>
        <v>46054</v>
      </c>
      <c r="H10" s="1573" t="s">
        <v>446</v>
      </c>
      <c r="I10" s="1576"/>
      <c r="K10" s="1573" t="s">
        <v>443</v>
      </c>
      <c r="L10" s="1598">
        <f>plochy_OFFICE!$C$22</f>
        <v>15535</v>
      </c>
      <c r="N10" s="1573" t="s">
        <v>443</v>
      </c>
      <c r="O10" s="1598">
        <f>plochy_OFFICE!$C$22</f>
        <v>15535</v>
      </c>
    </row>
    <row r="11" spans="2:15" ht="16.5" customHeight="1">
      <c r="B11" s="1573"/>
      <c r="C11" s="1574"/>
      <c r="D11" s="1571"/>
      <c r="E11" s="1589" t="s">
        <v>451</v>
      </c>
      <c r="F11" s="1577">
        <f>HMG!$AE$10</f>
        <v>46478</v>
      </c>
      <c r="H11" s="1589" t="s">
        <v>451</v>
      </c>
      <c r="I11" s="1576"/>
      <c r="K11" s="1573" t="s">
        <v>444</v>
      </c>
      <c r="L11" s="1598">
        <f>plochy_OFFICE!$C$27</f>
        <v>3534</v>
      </c>
      <c r="N11" s="1573" t="s">
        <v>444</v>
      </c>
      <c r="O11" s="1598">
        <f>kalkulace_VIZE!$C$17</f>
        <v>5314.5</v>
      </c>
    </row>
    <row r="12" spans="2:15" ht="16.5" customHeight="1">
      <c r="B12" s="1647" t="s">
        <v>452</v>
      </c>
      <c r="C12" s="1648"/>
      <c r="D12" s="1571"/>
      <c r="E12" s="1573" t="s">
        <v>447</v>
      </c>
      <c r="F12" s="1576">
        <f>HMG!$AC$10</f>
        <v>46419</v>
      </c>
      <c r="H12" s="1573" t="s">
        <v>447</v>
      </c>
      <c r="I12" s="1576"/>
      <c r="K12" s="1589" t="s">
        <v>442</v>
      </c>
      <c r="L12" s="1599">
        <f>SUM(L10:L11)</f>
        <v>19069</v>
      </c>
      <c r="M12" s="1336"/>
      <c r="N12" s="1589" t="s">
        <v>442</v>
      </c>
      <c r="O12" s="1599">
        <f>SUM(O10:O11)</f>
        <v>20849.5</v>
      </c>
    </row>
    <row r="13" spans="2:15" ht="16.5" customHeight="1">
      <c r="B13" s="1573" t="s">
        <v>453</v>
      </c>
      <c r="C13" s="1650" t="s">
        <v>454</v>
      </c>
      <c r="D13" s="1571"/>
      <c r="E13" s="1573" t="s">
        <v>448</v>
      </c>
      <c r="F13" s="1576" t="str">
        <f>HMG!$AH$10</f>
        <v>VII-27</v>
      </c>
      <c r="H13" s="1573" t="s">
        <v>448</v>
      </c>
      <c r="I13" s="1576"/>
      <c r="K13" s="1573"/>
      <c r="L13" s="1600"/>
      <c r="N13" s="1573"/>
      <c r="O13" s="1600"/>
    </row>
    <row r="14" spans="2:15" ht="16.5" customHeight="1">
      <c r="B14" s="1617"/>
      <c r="C14" s="1618" t="s">
        <v>455</v>
      </c>
      <c r="D14" s="1571"/>
      <c r="E14" s="1573" t="s">
        <v>449</v>
      </c>
      <c r="F14" s="1578" t="str">
        <f>HMG!$AJ$10</f>
        <v>IX-27</v>
      </c>
      <c r="H14" s="1573" t="s">
        <v>449</v>
      </c>
      <c r="I14" s="1576"/>
      <c r="K14" s="1573" t="s">
        <v>445</v>
      </c>
      <c r="L14" s="1598">
        <f>plochy_OFFICE!$U$22</f>
        <v>13900</v>
      </c>
      <c r="N14" s="1573" t="s">
        <v>83</v>
      </c>
      <c r="O14" s="1598">
        <f>kalkulace_VIZE!$C$35</f>
        <v>11734</v>
      </c>
    </row>
    <row r="15" spans="2:15" ht="16.5" customHeight="1">
      <c r="B15" s="1573"/>
      <c r="C15" s="1574"/>
      <c r="D15" s="1571"/>
      <c r="E15" s="1643" t="s">
        <v>450</v>
      </c>
      <c r="F15" s="1661">
        <f>HMG!$BK$10</f>
        <v>47453</v>
      </c>
      <c r="H15" s="1643" t="s">
        <v>450</v>
      </c>
      <c r="I15" s="1644"/>
      <c r="K15" s="1573"/>
      <c r="L15" s="1601"/>
      <c r="N15" s="1573"/>
      <c r="O15" s="1601"/>
    </row>
    <row r="16" spans="2:15" ht="16.5" customHeight="1">
      <c r="B16" s="1573"/>
      <c r="C16" s="1574"/>
      <c r="D16" s="1575"/>
      <c r="E16" s="1573"/>
      <c r="F16" s="1574"/>
      <c r="G16" s="1336"/>
      <c r="H16" s="1573"/>
      <c r="I16" s="1574"/>
      <c r="J16" s="1336"/>
      <c r="K16" s="1573" t="s">
        <v>458</v>
      </c>
      <c r="L16" s="1598">
        <f>plochy_OFFICE!$AG$22</f>
        <v>57415.500000000007</v>
      </c>
      <c r="N16" s="1573" t="s">
        <v>458</v>
      </c>
      <c r="O16" s="1598">
        <f>kalkulace_VIZE!$C$21</f>
        <v>57415.999988425006</v>
      </c>
    </row>
    <row r="17" spans="2:15" ht="16.5" customHeight="1">
      <c r="B17" s="1647" t="s">
        <v>441</v>
      </c>
      <c r="C17" s="1648"/>
      <c r="D17" s="1571"/>
      <c r="E17" s="1647" t="s">
        <v>522</v>
      </c>
      <c r="F17" s="1648"/>
      <c r="H17" s="1625" t="s">
        <v>511</v>
      </c>
      <c r="I17" s="1626"/>
      <c r="K17" s="1573" t="s">
        <v>478</v>
      </c>
      <c r="L17" s="1598">
        <f>plochy_OFFICE!$AG$27</f>
        <v>10602</v>
      </c>
      <c r="N17" s="1573" t="s">
        <v>478</v>
      </c>
      <c r="O17" s="1598">
        <f>kalkulace_VIZE!$C$22</f>
        <v>23915.25</v>
      </c>
    </row>
    <row r="18" spans="2:15" ht="16.5" customHeight="1">
      <c r="B18" s="1573" t="s">
        <v>528</v>
      </c>
      <c r="C18" s="1650" t="s">
        <v>479</v>
      </c>
      <c r="D18" s="1579"/>
      <c r="E18" s="1583" t="s">
        <v>516</v>
      </c>
      <c r="F18" s="1580"/>
      <c r="H18" s="1590" t="s">
        <v>565</v>
      </c>
      <c r="I18" s="1591"/>
      <c r="K18" s="1589" t="s">
        <v>459</v>
      </c>
      <c r="L18" s="1599">
        <f>SUM(L16:L17)</f>
        <v>68017.5</v>
      </c>
      <c r="N18" s="1589" t="s">
        <v>459</v>
      </c>
      <c r="O18" s="1599">
        <f>SUM(O16:O17)</f>
        <v>81331.249988424999</v>
      </c>
    </row>
    <row r="19" spans="2:15" ht="16.5" customHeight="1">
      <c r="B19" s="1573" t="s">
        <v>526</v>
      </c>
      <c r="C19" s="1572" t="s">
        <v>567</v>
      </c>
      <c r="D19" s="1579"/>
      <c r="E19" s="1583" t="s">
        <v>515</v>
      </c>
      <c r="F19" s="1580"/>
      <c r="H19" s="1590"/>
      <c r="I19" s="1591"/>
      <c r="K19" s="1573"/>
      <c r="L19" s="1574"/>
      <c r="M19" s="1336"/>
      <c r="N19" s="1573"/>
      <c r="O19" s="1574"/>
    </row>
    <row r="20" spans="2:15" ht="16.5" customHeight="1">
      <c r="B20" s="1617" t="s">
        <v>527</v>
      </c>
      <c r="C20" s="1651" t="s">
        <v>525</v>
      </c>
      <c r="D20" s="1571"/>
      <c r="E20" s="1640" t="s">
        <v>517</v>
      </c>
      <c r="F20" s="1581"/>
      <c r="H20" s="1590"/>
      <c r="I20" s="1591"/>
      <c r="K20" s="1573" t="s">
        <v>497</v>
      </c>
      <c r="L20" s="1600">
        <v>11</v>
      </c>
      <c r="N20" s="1573" t="s">
        <v>497</v>
      </c>
      <c r="O20" s="1600">
        <v>11</v>
      </c>
    </row>
    <row r="21" spans="2:15" ht="16.5" customHeight="1">
      <c r="B21" s="1573"/>
      <c r="C21" s="1574"/>
      <c r="D21" s="1571"/>
      <c r="E21" s="1640"/>
      <c r="F21" s="1581"/>
      <c r="H21" s="1590"/>
      <c r="I21" s="1591"/>
      <c r="K21" s="1573" t="s">
        <v>498</v>
      </c>
      <c r="L21" s="1600">
        <v>2</v>
      </c>
      <c r="N21" s="1573" t="s">
        <v>498</v>
      </c>
      <c r="O21" s="1600">
        <v>3</v>
      </c>
    </row>
    <row r="22" spans="2:15" ht="16.5" customHeight="1">
      <c r="B22" s="1647" t="s">
        <v>514</v>
      </c>
      <c r="C22" s="1648"/>
      <c r="D22" s="1571"/>
      <c r="E22" s="1640" t="s">
        <v>518</v>
      </c>
      <c r="F22" s="1581"/>
      <c r="H22" s="1590"/>
      <c r="I22" s="1591"/>
      <c r="K22" s="1573"/>
      <c r="L22" s="1574"/>
      <c r="N22" s="1573"/>
      <c r="O22" s="1574"/>
    </row>
    <row r="23" spans="2:15" ht="16.5" customHeight="1">
      <c r="B23" s="1582" t="s">
        <v>509</v>
      </c>
      <c r="C23" s="1652"/>
      <c r="D23" s="1571"/>
      <c r="E23" s="1640"/>
      <c r="F23" s="1581"/>
      <c r="H23" s="1590"/>
      <c r="I23" s="1591"/>
      <c r="K23" s="1617" t="s">
        <v>461</v>
      </c>
      <c r="L23" s="1637" t="s">
        <v>568</v>
      </c>
      <c r="N23" s="1617" t="s">
        <v>461</v>
      </c>
      <c r="O23" s="1637" t="s">
        <v>568</v>
      </c>
    </row>
    <row r="24" spans="2:15" ht="16.5" customHeight="1">
      <c r="B24" s="1653" t="s">
        <v>510</v>
      </c>
      <c r="C24" s="1654"/>
      <c r="D24" s="1571"/>
      <c r="E24" s="1641"/>
      <c r="F24" s="1642"/>
      <c r="G24" s="1334"/>
      <c r="H24" s="1590"/>
      <c r="I24" s="1591"/>
      <c r="J24" s="1334"/>
      <c r="K24" s="1573"/>
      <c r="L24" s="1574"/>
      <c r="N24" s="1573"/>
      <c r="O24" s="1574"/>
    </row>
    <row r="25" spans="2:15" ht="16.5" customHeight="1">
      <c r="B25" s="1583"/>
      <c r="C25" s="1580"/>
      <c r="D25" s="1571"/>
      <c r="E25" s="1583"/>
      <c r="F25" s="1580"/>
      <c r="H25" s="1590"/>
      <c r="I25" s="1591"/>
      <c r="K25" s="1615" t="s">
        <v>466</v>
      </c>
      <c r="L25" s="1616"/>
      <c r="N25" s="1625" t="s">
        <v>466</v>
      </c>
      <c r="O25" s="1626"/>
    </row>
    <row r="26" spans="2:15" ht="16.5" customHeight="1">
      <c r="B26" s="1647" t="s">
        <v>452</v>
      </c>
      <c r="C26" s="1648"/>
      <c r="D26" s="1571"/>
      <c r="E26" s="1647" t="s">
        <v>523</v>
      </c>
      <c r="F26" s="1648"/>
      <c r="H26" s="1590"/>
      <c r="I26" s="1591"/>
      <c r="K26" s="1573" t="s">
        <v>508</v>
      </c>
      <c r="L26" s="1600">
        <v>11</v>
      </c>
      <c r="N26" s="1573" t="s">
        <v>467</v>
      </c>
      <c r="O26" s="1612">
        <f>kalkulace_VIZE!$C$42</f>
        <v>297.42857142857144</v>
      </c>
    </row>
    <row r="27" spans="2:15" ht="16.5" customHeight="1">
      <c r="B27" s="1653" t="s">
        <v>551</v>
      </c>
      <c r="C27" s="1654"/>
      <c r="D27" s="1579"/>
      <c r="E27" s="1583" t="s">
        <v>519</v>
      </c>
      <c r="F27" s="1580"/>
      <c r="H27" s="1590"/>
      <c r="I27" s="1591"/>
      <c r="K27" s="1573" t="s">
        <v>468</v>
      </c>
      <c r="L27" s="1600">
        <v>1</v>
      </c>
      <c r="N27" s="1573" t="s">
        <v>468</v>
      </c>
      <c r="O27" s="1600">
        <v>1</v>
      </c>
    </row>
    <row r="28" spans="2:15" ht="16.5" customHeight="1">
      <c r="B28" s="1584"/>
      <c r="C28" s="1655"/>
      <c r="D28" s="1579"/>
      <c r="E28" s="1583" t="s">
        <v>520</v>
      </c>
      <c r="F28" s="1580"/>
      <c r="H28" s="1590"/>
      <c r="I28" s="1591"/>
      <c r="K28" s="1589" t="s">
        <v>469</v>
      </c>
      <c r="L28" s="1602">
        <f>SUM(L26:L27)</f>
        <v>12</v>
      </c>
      <c r="N28" s="1589" t="s">
        <v>469</v>
      </c>
      <c r="O28" s="1613">
        <f>SUM(O26:O27)</f>
        <v>298.42857142857144</v>
      </c>
    </row>
    <row r="29" spans="2:15" ht="16.5" customHeight="1" thickBot="1">
      <c r="B29" s="1585"/>
      <c r="C29" s="1586"/>
      <c r="D29" s="1579"/>
      <c r="E29" s="1585" t="s">
        <v>521</v>
      </c>
      <c r="F29" s="1586"/>
      <c r="H29" s="1592"/>
      <c r="I29" s="1593"/>
      <c r="K29" s="1573"/>
      <c r="L29" s="1574"/>
      <c r="N29" s="1573"/>
      <c r="O29" s="1574"/>
    </row>
    <row r="30" spans="2:15" ht="16.5" customHeight="1">
      <c r="B30" s="1406"/>
      <c r="C30" s="1406"/>
      <c r="E30" s="1406"/>
      <c r="F30" s="1406"/>
      <c r="H30" s="1567"/>
      <c r="I30" s="1567"/>
      <c r="K30" s="1617" t="s">
        <v>460</v>
      </c>
      <c r="L30" s="1619">
        <f>kalkulace_OFFICE!$C$33</f>
        <v>78</v>
      </c>
      <c r="M30" s="1334"/>
      <c r="N30" s="1617" t="s">
        <v>460</v>
      </c>
      <c r="O30" s="1619">
        <f>kalkulace_VIZE!$C$33</f>
        <v>120</v>
      </c>
    </row>
    <row r="31" spans="2:15" ht="16.5" customHeight="1">
      <c r="B31" s="1407" t="e" vm="1">
        <v>#VALUE!</v>
      </c>
      <c r="C31" s="1407"/>
      <c r="D31" s="1407"/>
      <c r="E31" s="1407"/>
      <c r="F31" s="1407"/>
      <c r="G31" s="1334"/>
      <c r="H31" s="1567"/>
      <c r="I31" s="1567"/>
      <c r="J31" s="1334"/>
      <c r="K31" s="1573"/>
      <c r="L31" s="1574"/>
      <c r="N31" s="1573"/>
      <c r="O31" s="1574"/>
    </row>
    <row r="32" spans="2:15" ht="16.5" customHeight="1">
      <c r="B32" s="1407"/>
      <c r="C32" s="1407"/>
      <c r="D32" s="1407"/>
      <c r="E32" s="1407"/>
      <c r="F32" s="1407"/>
      <c r="H32" s="1567"/>
      <c r="I32" s="1567"/>
      <c r="K32" s="1615" t="s">
        <v>463</v>
      </c>
      <c r="L32" s="1616"/>
      <c r="N32" s="1625" t="s">
        <v>465</v>
      </c>
      <c r="O32" s="1626"/>
    </row>
    <row r="33" spans="2:15" ht="16.5" customHeight="1">
      <c r="B33" s="1407"/>
      <c r="C33" s="1407"/>
      <c r="D33" s="1407"/>
      <c r="E33" s="1407"/>
      <c r="F33" s="1407"/>
      <c r="H33" s="1567"/>
      <c r="I33" s="1567"/>
      <c r="K33" s="1603" t="s">
        <v>462</v>
      </c>
      <c r="L33" s="1604">
        <f>kalkulace_OFFICE!$G$268</f>
        <v>1445035777.8301017</v>
      </c>
      <c r="N33" s="1603" t="s">
        <v>462</v>
      </c>
      <c r="O33" s="1604">
        <f>kalkulace_VIZE!$G$270</f>
        <v>1740856262.3926096</v>
      </c>
    </row>
    <row r="34" spans="2:15" ht="16.5" customHeight="1">
      <c r="B34" s="1407"/>
      <c r="C34" s="1407"/>
      <c r="D34" s="1407"/>
      <c r="E34" s="1407"/>
      <c r="F34" s="1407"/>
      <c r="H34" s="1567"/>
      <c r="I34" s="1567"/>
      <c r="K34" s="1620" t="s">
        <v>464</v>
      </c>
      <c r="L34" s="1621">
        <f>kalkulace_OFFICE!$G$302</f>
        <v>1622778371.0617065</v>
      </c>
      <c r="N34" s="1620" t="s">
        <v>464</v>
      </c>
      <c r="O34" s="1621">
        <f>kalkulace_VIZE!$G$303</f>
        <v>2035860098.1999664</v>
      </c>
    </row>
    <row r="35" spans="2:15" ht="16.5" customHeight="1">
      <c r="B35" s="1407"/>
      <c r="C35" s="1407"/>
      <c r="D35" s="1407"/>
      <c r="E35" s="1407"/>
      <c r="F35" s="1407"/>
      <c r="H35" s="1567"/>
      <c r="I35" s="1567"/>
      <c r="K35" s="1573"/>
      <c r="L35" s="1574"/>
      <c r="N35" s="1573"/>
      <c r="O35" s="1574"/>
    </row>
    <row r="36" spans="2:15" ht="16.5" customHeight="1">
      <c r="B36" s="1407"/>
      <c r="C36" s="1407"/>
      <c r="D36" s="1407"/>
      <c r="E36" s="1407"/>
      <c r="F36" s="1407"/>
      <c r="H36" s="1567"/>
      <c r="I36" s="1567"/>
      <c r="K36" s="1615" t="s">
        <v>470</v>
      </c>
      <c r="L36" s="1616"/>
      <c r="N36" s="1625" t="s">
        <v>471</v>
      </c>
      <c r="O36" s="1626"/>
    </row>
    <row r="37" spans="2:15" ht="16.5" customHeight="1">
      <c r="B37" s="1407"/>
      <c r="C37" s="1407"/>
      <c r="D37" s="1407"/>
      <c r="E37" s="1407"/>
      <c r="F37" s="1407"/>
      <c r="H37" s="1567"/>
      <c r="I37" s="1567"/>
      <c r="K37" s="1620" t="s">
        <v>343</v>
      </c>
      <c r="L37" s="1621">
        <f>kalkulace_OFFICE!$G$349</f>
        <v>1948234090.909091</v>
      </c>
      <c r="N37" s="1620" t="s">
        <v>462</v>
      </c>
      <c r="O37" s="1621">
        <f>kalkulace_VIZE!$G$344</f>
        <v>2658040000</v>
      </c>
    </row>
    <row r="38" spans="2:15" ht="16.5" customHeight="1">
      <c r="B38" s="1407"/>
      <c r="C38" s="1407"/>
      <c r="D38" s="1407"/>
      <c r="E38" s="1407"/>
      <c r="F38" s="1407"/>
      <c r="H38" s="1567"/>
      <c r="I38" s="1567"/>
      <c r="K38" s="1573"/>
      <c r="L38" s="1574"/>
      <c r="N38" s="1573"/>
      <c r="O38" s="1574"/>
    </row>
    <row r="39" spans="2:15" ht="16.5" customHeight="1">
      <c r="B39" s="1407"/>
      <c r="C39" s="1407"/>
      <c r="D39" s="1407"/>
      <c r="E39" s="1407"/>
      <c r="F39" s="1407"/>
      <c r="H39" s="1567"/>
      <c r="I39" s="1567"/>
      <c r="K39" s="1622" t="s">
        <v>474</v>
      </c>
      <c r="L39" s="1623"/>
      <c r="M39" s="1334"/>
      <c r="N39" s="1627" t="s">
        <v>475</v>
      </c>
      <c r="O39" s="1628"/>
    </row>
    <row r="40" spans="2:15" ht="16.5" customHeight="1">
      <c r="B40" s="1407"/>
      <c r="C40" s="1407"/>
      <c r="D40" s="1407"/>
      <c r="E40" s="1407"/>
      <c r="F40" s="1407"/>
      <c r="H40" s="1567"/>
      <c r="I40" s="1567"/>
      <c r="K40" s="1603" t="s">
        <v>472</v>
      </c>
      <c r="L40" s="1604">
        <f>kalkulace_OFFICE!$G$359</f>
        <v>325455719.84738445</v>
      </c>
      <c r="N40" s="1603" t="s">
        <v>472</v>
      </c>
      <c r="O40" s="1604">
        <f>kalkulace_VIZE!$G$356</f>
        <v>622179901.80003357</v>
      </c>
    </row>
    <row r="41" spans="2:15" ht="16.5" customHeight="1">
      <c r="B41" s="1407"/>
      <c r="C41" s="1407"/>
      <c r="D41" s="1407"/>
      <c r="E41" s="1407"/>
      <c r="F41" s="1407"/>
      <c r="H41" s="1567"/>
      <c r="I41" s="1567"/>
      <c r="K41" s="1573" t="s">
        <v>346</v>
      </c>
      <c r="L41" s="1605">
        <f>L40/L34</f>
        <v>0.20055463250625793</v>
      </c>
      <c r="N41" s="1573" t="s">
        <v>346</v>
      </c>
      <c r="O41" s="1605">
        <f>O40/O34</f>
        <v>0.30561034245434765</v>
      </c>
    </row>
    <row r="42" spans="2:15" ht="16.5" customHeight="1">
      <c r="B42" s="1407"/>
      <c r="C42" s="1407"/>
      <c r="D42" s="1407"/>
      <c r="E42" s="1407"/>
      <c r="F42" s="1407"/>
      <c r="H42" s="1567"/>
      <c r="I42" s="1567"/>
      <c r="K42" s="1606" t="s">
        <v>473</v>
      </c>
      <c r="L42" s="1607">
        <f>kalkulace_OFFICE!$G$376</f>
        <v>255478843.6794337</v>
      </c>
      <c r="N42" s="1606" t="s">
        <v>473</v>
      </c>
      <c r="O42" s="1607">
        <f>kalkulace_VIZE!$G$374</f>
        <v>427940947.42202652</v>
      </c>
    </row>
    <row r="43" spans="2:15" ht="16.5" customHeight="1">
      <c r="B43" s="1407"/>
      <c r="C43" s="1407"/>
      <c r="D43" s="1407"/>
      <c r="E43" s="1407"/>
      <c r="F43" s="1407"/>
      <c r="H43" s="1567"/>
      <c r="I43" s="1567"/>
      <c r="K43" s="1617" t="s">
        <v>346</v>
      </c>
      <c r="L43" s="1624">
        <f>L42/L34</f>
        <v>0.15743298544969273</v>
      </c>
      <c r="N43" s="1617" t="s">
        <v>346</v>
      </c>
      <c r="O43" s="1624">
        <f>O42/O34</f>
        <v>0.21020154960569068</v>
      </c>
    </row>
    <row r="44" spans="2:15" ht="16.5" customHeight="1">
      <c r="B44" s="1407"/>
      <c r="C44" s="1407"/>
      <c r="D44" s="1407"/>
      <c r="E44" s="1407"/>
      <c r="F44" s="1407"/>
      <c r="H44" s="1567"/>
      <c r="I44" s="1567"/>
      <c r="K44" s="1573"/>
      <c r="L44" s="1574"/>
      <c r="N44" s="1573"/>
      <c r="O44" s="1574"/>
    </row>
    <row r="45" spans="2:15" ht="16.5" customHeight="1">
      <c r="B45" s="1407"/>
      <c r="C45" s="1407"/>
      <c r="D45" s="1407"/>
      <c r="E45" s="1407"/>
      <c r="F45" s="1407"/>
      <c r="H45" s="1567"/>
      <c r="I45" s="1567"/>
      <c r="K45" s="1622" t="s">
        <v>554</v>
      </c>
      <c r="L45" s="1623"/>
      <c r="N45" s="1627" t="s">
        <v>556</v>
      </c>
      <c r="O45" s="1628"/>
    </row>
    <row r="46" spans="2:15" ht="16.5" customHeight="1">
      <c r="B46" s="1407"/>
      <c r="C46" s="1407"/>
      <c r="D46" s="1407"/>
      <c r="E46" s="1407"/>
      <c r="F46" s="1407"/>
      <c r="H46" s="1567"/>
      <c r="I46" s="1567"/>
      <c r="K46" s="1573" t="s">
        <v>552</v>
      </c>
      <c r="L46" s="1604">
        <f>kalkulace_OFFICE!G178</f>
        <v>807571935.625</v>
      </c>
      <c r="N46" s="1573" t="s">
        <v>552</v>
      </c>
      <c r="O46" s="1604">
        <f>kalkulace_VIZE!G180</f>
        <v>929271704.30157113</v>
      </c>
    </row>
    <row r="47" spans="2:15" ht="16.5" customHeight="1">
      <c r="B47" s="1407"/>
      <c r="C47" s="1407"/>
      <c r="D47" s="1407"/>
      <c r="E47" s="1407"/>
      <c r="F47" s="1407"/>
      <c r="H47" s="1567"/>
      <c r="I47" s="1567"/>
      <c r="K47" s="1573" t="s">
        <v>553</v>
      </c>
      <c r="L47" s="1604">
        <f>kalkulace_OFFICE!G188</f>
        <v>39781868.75</v>
      </c>
      <c r="N47" s="1573" t="s">
        <v>553</v>
      </c>
      <c r="O47" s="1604">
        <f>kalkulace_VIZE!G190</f>
        <v>91553862.492765635</v>
      </c>
    </row>
    <row r="48" spans="2:15" ht="16.5" customHeight="1">
      <c r="B48" s="1407"/>
      <c r="C48" s="1407"/>
      <c r="D48" s="1407"/>
      <c r="E48" s="1407"/>
      <c r="F48" s="1407"/>
      <c r="H48" s="1567"/>
      <c r="I48" s="1567"/>
      <c r="K48" s="1589" t="s">
        <v>555</v>
      </c>
      <c r="L48" s="1607">
        <f>SUM(L46:L47)</f>
        <v>847353804.375</v>
      </c>
      <c r="N48" s="1589" t="s">
        <v>555</v>
      </c>
      <c r="O48" s="1607">
        <f>SUM(O46:O47)</f>
        <v>1020825566.7943368</v>
      </c>
    </row>
    <row r="49" spans="2:15" ht="16.5" customHeight="1" thickBot="1">
      <c r="B49" s="1407"/>
      <c r="C49" s="1407"/>
      <c r="D49" s="1407"/>
      <c r="E49" s="1407"/>
      <c r="F49" s="1407"/>
      <c r="H49" s="1567"/>
      <c r="I49" s="1567"/>
      <c r="K49" s="1608" t="s">
        <v>558</v>
      </c>
      <c r="L49" s="1609">
        <f>L48/L10</f>
        <v>54544.821652719664</v>
      </c>
      <c r="N49" s="1617" t="s">
        <v>558</v>
      </c>
      <c r="O49" s="1621">
        <f>O48/O10</f>
        <v>65711.333556120808</v>
      </c>
    </row>
    <row r="50" spans="2:15" ht="16.5" customHeight="1">
      <c r="B50" s="1407"/>
      <c r="C50" s="1407"/>
      <c r="D50" s="1407"/>
      <c r="E50" s="1407"/>
      <c r="F50" s="1407"/>
      <c r="N50" s="1573"/>
      <c r="O50" s="1574"/>
    </row>
    <row r="51" spans="2:15" ht="16.5" customHeight="1">
      <c r="B51" s="1407"/>
      <c r="C51" s="1407"/>
      <c r="D51" s="1407"/>
      <c r="E51" s="1407"/>
      <c r="F51" s="1407"/>
      <c r="N51" s="1627" t="s">
        <v>485</v>
      </c>
      <c r="O51" s="1629" t="s">
        <v>506</v>
      </c>
    </row>
    <row r="52" spans="2:15" ht="16.5" customHeight="1">
      <c r="B52" s="1407"/>
      <c r="C52" s="1407"/>
      <c r="D52" s="1407"/>
      <c r="E52" s="1407"/>
      <c r="F52" s="1407"/>
      <c r="N52" s="1573" t="s">
        <v>494</v>
      </c>
      <c r="O52" s="1605">
        <f>'zhodnocení investor_VIZE'!J5</f>
        <v>0.17607839065280473</v>
      </c>
    </row>
    <row r="53" spans="2:15" ht="16.5" customHeight="1">
      <c r="N53" s="1573" t="s">
        <v>495</v>
      </c>
      <c r="O53" s="1605">
        <f>'zhodnocení investor_VIZE'!J6</f>
        <v>0.17924832359667159</v>
      </c>
    </row>
    <row r="54" spans="2:15" ht="16.5" customHeight="1" thickBot="1">
      <c r="N54" s="1608" t="s">
        <v>496</v>
      </c>
      <c r="O54" s="1614">
        <f>'zhodnocení investor_VIZE'!J7</f>
        <v>0.1815125614137193</v>
      </c>
    </row>
  </sheetData>
  <mergeCells count="43">
    <mergeCell ref="B24:C24"/>
    <mergeCell ref="B29:C29"/>
    <mergeCell ref="B30:C30"/>
    <mergeCell ref="E30:F30"/>
    <mergeCell ref="E29:F29"/>
    <mergeCell ref="E26:F26"/>
    <mergeCell ref="B27:C27"/>
    <mergeCell ref="B26:C26"/>
    <mergeCell ref="B25:C25"/>
    <mergeCell ref="B28:C28"/>
    <mergeCell ref="B22:C22"/>
    <mergeCell ref="B23:C23"/>
    <mergeCell ref="H18:I29"/>
    <mergeCell ref="B31:F52"/>
    <mergeCell ref="E20:F21"/>
    <mergeCell ref="E27:F27"/>
    <mergeCell ref="E28:F28"/>
    <mergeCell ref="K25:L25"/>
    <mergeCell ref="K32:L32"/>
    <mergeCell ref="E22:F24"/>
    <mergeCell ref="E25:F25"/>
    <mergeCell ref="E19:F19"/>
    <mergeCell ref="H17:I17"/>
    <mergeCell ref="N9:O9"/>
    <mergeCell ref="B9:C9"/>
    <mergeCell ref="K9:L9"/>
    <mergeCell ref="B12:C12"/>
    <mergeCell ref="B17:C17"/>
    <mergeCell ref="H9:I9"/>
    <mergeCell ref="E17:F17"/>
    <mergeCell ref="E18:F18"/>
    <mergeCell ref="B3:F4"/>
    <mergeCell ref="B6:C7"/>
    <mergeCell ref="K3:L4"/>
    <mergeCell ref="H6:I6"/>
    <mergeCell ref="H7:I8"/>
    <mergeCell ref="N3:O4"/>
    <mergeCell ref="K6:L6"/>
    <mergeCell ref="N6:O6"/>
    <mergeCell ref="N25:O25"/>
    <mergeCell ref="N32:O32"/>
    <mergeCell ref="N36:O36"/>
    <mergeCell ref="K36:L36"/>
  </mergeCells>
  <phoneticPr fontId="83" type="noConversion"/>
  <dataValidations disablePrompts="1" count="1">
    <dataValidation type="list" allowBlank="1" showInputMessage="1" showErrorMessage="1" sqref="E7:F7" xr:uid="{D53B8727-6949-473B-87B4-C7BDF2B2DCE1}">
      <formula1>"AS, DPZ, ZZPD, ZZPD (zahájené řízení SP), DPS"</formula1>
    </dataValidation>
  </dataValidations>
  <hyperlinks>
    <hyperlink ref="B23:C23" r:id="rId1" display="dataroom Kováků DD technické" xr:uid="{172FB919-571A-4E46-9472-7035E1019D80}"/>
    <hyperlink ref="B24:C24" r:id="rId2" display="dataroom Kováků DD účetní a daňové" xr:uid="{1DD46DEB-FCE6-4906-8B3C-9C293C1CFA82}"/>
    <hyperlink ref="B27" r:id="rId3" xr:uid="{B0933B51-FC87-4491-B618-DF1AF874D207}"/>
  </hyperlinks>
  <printOptions horizontalCentered="1"/>
  <pageMargins left="0.70866141732283472" right="0.70866141732283472" top="0.74803149606299213" bottom="0.74803149606299213" header="0.31496062992125984" footer="0.31496062992125984"/>
  <pageSetup paperSize="8" scale="66" orientation="landscape" r:id="rId4"/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A7BB7-68B1-4DEC-A661-5FB365298ADF}">
  <dimension ref="A2:L51"/>
  <sheetViews>
    <sheetView topLeftCell="A2" workbookViewId="0">
      <selection activeCell="B4" sqref="B4"/>
    </sheetView>
  </sheetViews>
  <sheetFormatPr baseColWidth="10" defaultColWidth="8.83203125" defaultRowHeight="15" customHeight="1"/>
  <cols>
    <col min="1" max="1" width="5.5" style="1331" customWidth="1"/>
    <col min="2" max="2" width="30.5" style="1331" customWidth="1"/>
    <col min="3" max="3" width="20.5" style="1331" customWidth="1"/>
    <col min="4" max="4" width="5.5" style="1331" customWidth="1"/>
    <col min="5" max="5" width="30.5" style="1331" customWidth="1"/>
    <col min="6" max="6" width="20.5" style="1331" customWidth="1"/>
    <col min="7" max="7" width="5.5" style="1331" customWidth="1"/>
    <col min="8" max="8" width="30.5" style="1331" customWidth="1"/>
    <col min="9" max="9" width="20.5" style="1331" customWidth="1"/>
    <col min="10" max="10" width="5.5" style="1331" customWidth="1"/>
    <col min="11" max="11" width="30.5" style="1331" customWidth="1"/>
    <col min="12" max="12" width="20.5" style="1331" customWidth="1"/>
    <col min="13" max="13" width="5.6640625" customWidth="1"/>
  </cols>
  <sheetData>
    <row r="2" spans="2:12" ht="15" customHeight="1">
      <c r="B2" s="1405" t="s">
        <v>559</v>
      </c>
      <c r="C2" s="1405"/>
      <c r="D2" s="1405"/>
      <c r="E2" s="1405"/>
      <c r="F2" s="1405"/>
      <c r="G2" s="1405"/>
      <c r="H2" s="1405"/>
      <c r="I2" s="1405"/>
      <c r="J2" s="1405"/>
      <c r="K2" s="1405"/>
      <c r="L2" s="1405"/>
    </row>
    <row r="3" spans="2:12" ht="15" customHeight="1">
      <c r="B3" s="1405"/>
      <c r="C3" s="1405"/>
      <c r="D3" s="1405"/>
      <c r="E3" s="1405"/>
      <c r="F3" s="1405"/>
      <c r="G3" s="1405"/>
      <c r="H3" s="1405"/>
      <c r="I3" s="1405"/>
      <c r="J3" s="1405"/>
      <c r="K3" s="1405"/>
      <c r="L3" s="1405"/>
    </row>
    <row r="4" spans="2:12" ht="15" customHeight="1">
      <c r="B4" s="1330"/>
      <c r="C4" s="1330"/>
      <c r="D4" s="1330"/>
      <c r="E4" s="1332"/>
      <c r="F4" s="1332"/>
      <c r="G4" s="1330"/>
      <c r="H4" s="1330"/>
      <c r="I4" s="1330"/>
      <c r="J4" s="1330"/>
      <c r="K4" s="1332"/>
      <c r="L4" s="1332"/>
    </row>
    <row r="5" spans="2:12" ht="15" customHeight="1">
      <c r="B5" s="1407" t="e" vm="1">
        <v>#VALUE!</v>
      </c>
      <c r="C5" s="1407"/>
      <c r="D5" s="1407"/>
      <c r="E5" s="1407"/>
      <c r="F5" s="1407"/>
      <c r="G5" s="1334"/>
      <c r="H5" s="1407" t="e" vm="2">
        <v>#VALUE!</v>
      </c>
      <c r="I5" s="1407"/>
      <c r="J5" s="1407"/>
      <c r="K5" s="1407"/>
      <c r="L5" s="1407"/>
    </row>
    <row r="6" spans="2:12" ht="15" customHeight="1">
      <c r="B6" s="1407"/>
      <c r="C6" s="1407"/>
      <c r="D6" s="1407"/>
      <c r="E6" s="1407"/>
      <c r="F6" s="1407"/>
      <c r="H6" s="1407"/>
      <c r="I6" s="1407"/>
      <c r="J6" s="1407"/>
      <c r="K6" s="1407"/>
      <c r="L6" s="1407"/>
    </row>
    <row r="7" spans="2:12" ht="15" customHeight="1">
      <c r="B7" s="1407"/>
      <c r="C7" s="1407"/>
      <c r="D7" s="1407"/>
      <c r="E7" s="1407"/>
      <c r="F7" s="1407"/>
      <c r="H7" s="1407"/>
      <c r="I7" s="1407"/>
      <c r="J7" s="1407"/>
      <c r="K7" s="1407"/>
      <c r="L7" s="1407"/>
    </row>
    <row r="8" spans="2:12" ht="15" customHeight="1">
      <c r="B8" s="1407"/>
      <c r="C8" s="1407"/>
      <c r="D8" s="1407"/>
      <c r="E8" s="1407"/>
      <c r="F8" s="1407"/>
      <c r="H8" s="1407"/>
      <c r="I8" s="1407"/>
      <c r="J8" s="1407"/>
      <c r="K8" s="1407"/>
      <c r="L8" s="1407"/>
    </row>
    <row r="9" spans="2:12" ht="15" customHeight="1">
      <c r="B9" s="1407"/>
      <c r="C9" s="1407"/>
      <c r="D9" s="1407"/>
      <c r="E9" s="1407"/>
      <c r="F9" s="1407"/>
      <c r="H9" s="1407"/>
      <c r="I9" s="1407"/>
      <c r="J9" s="1407"/>
      <c r="K9" s="1407"/>
      <c r="L9" s="1407"/>
    </row>
    <row r="10" spans="2:12" ht="15" customHeight="1">
      <c r="B10" s="1407"/>
      <c r="C10" s="1407"/>
      <c r="D10" s="1407"/>
      <c r="E10" s="1407"/>
      <c r="F10" s="1407"/>
      <c r="H10" s="1407"/>
      <c r="I10" s="1407"/>
      <c r="J10" s="1407"/>
      <c r="K10" s="1407"/>
      <c r="L10" s="1407"/>
    </row>
    <row r="11" spans="2:12" ht="15" customHeight="1">
      <c r="B11" s="1407"/>
      <c r="C11" s="1407"/>
      <c r="D11" s="1407"/>
      <c r="E11" s="1407"/>
      <c r="F11" s="1407"/>
      <c r="H11" s="1407"/>
      <c r="I11" s="1407"/>
      <c r="J11" s="1407"/>
      <c r="K11" s="1407"/>
      <c r="L11" s="1407"/>
    </row>
    <row r="12" spans="2:12" ht="15" customHeight="1">
      <c r="B12" s="1407"/>
      <c r="C12" s="1407"/>
      <c r="D12" s="1407"/>
      <c r="E12" s="1407"/>
      <c r="F12" s="1407"/>
      <c r="H12" s="1407"/>
      <c r="I12" s="1407"/>
      <c r="J12" s="1407"/>
      <c r="K12" s="1407"/>
      <c r="L12" s="1407"/>
    </row>
    <row r="13" spans="2:12" ht="15" customHeight="1">
      <c r="B13" s="1407"/>
      <c r="C13" s="1407"/>
      <c r="D13" s="1407"/>
      <c r="E13" s="1407"/>
      <c r="F13" s="1407"/>
      <c r="H13" s="1407"/>
      <c r="I13" s="1407"/>
      <c r="J13" s="1407"/>
      <c r="K13" s="1407"/>
      <c r="L13" s="1407"/>
    </row>
    <row r="14" spans="2:12" ht="15" customHeight="1">
      <c r="B14" s="1407"/>
      <c r="C14" s="1407"/>
      <c r="D14" s="1407"/>
      <c r="E14" s="1407"/>
      <c r="F14" s="1407"/>
      <c r="H14" s="1407"/>
      <c r="I14" s="1407"/>
      <c r="J14" s="1407"/>
      <c r="K14" s="1407"/>
      <c r="L14" s="1407"/>
    </row>
    <row r="15" spans="2:12" ht="15" customHeight="1">
      <c r="B15" s="1407"/>
      <c r="C15" s="1407"/>
      <c r="D15" s="1407"/>
      <c r="E15" s="1407"/>
      <c r="F15" s="1407"/>
      <c r="H15" s="1407"/>
      <c r="I15" s="1407"/>
      <c r="J15" s="1407"/>
      <c r="K15" s="1407"/>
      <c r="L15" s="1407"/>
    </row>
    <row r="16" spans="2:12" ht="15" customHeight="1">
      <c r="B16" s="1407"/>
      <c r="C16" s="1407"/>
      <c r="D16" s="1407"/>
      <c r="E16" s="1407"/>
      <c r="F16" s="1407"/>
      <c r="H16" s="1407"/>
      <c r="I16" s="1407"/>
      <c r="J16" s="1407"/>
      <c r="K16" s="1407"/>
      <c r="L16" s="1407"/>
    </row>
    <row r="17" spans="2:12" ht="15" customHeight="1">
      <c r="B17" s="1407"/>
      <c r="C17" s="1407"/>
      <c r="D17" s="1407"/>
      <c r="E17" s="1407"/>
      <c r="F17" s="1407"/>
      <c r="H17" s="1407"/>
      <c r="I17" s="1407"/>
      <c r="J17" s="1407"/>
      <c r="K17" s="1407"/>
      <c r="L17" s="1407"/>
    </row>
    <row r="18" spans="2:12" ht="15" customHeight="1">
      <c r="B18" s="1407"/>
      <c r="C18" s="1407"/>
      <c r="D18" s="1407"/>
      <c r="E18" s="1407"/>
      <c r="F18" s="1407"/>
      <c r="H18" s="1407"/>
      <c r="I18" s="1407"/>
      <c r="J18" s="1407"/>
      <c r="K18" s="1407"/>
      <c r="L18" s="1407"/>
    </row>
    <row r="19" spans="2:12" ht="15" customHeight="1">
      <c r="B19" s="1407"/>
      <c r="C19" s="1407"/>
      <c r="D19" s="1407"/>
      <c r="E19" s="1407"/>
      <c r="F19" s="1407"/>
      <c r="H19" s="1407"/>
      <c r="I19" s="1407"/>
      <c r="J19" s="1407"/>
      <c r="K19" s="1407"/>
      <c r="L19" s="1407"/>
    </row>
    <row r="20" spans="2:12" ht="15" customHeight="1">
      <c r="B20" s="1407"/>
      <c r="C20" s="1407"/>
      <c r="D20" s="1407"/>
      <c r="E20" s="1407"/>
      <c r="F20" s="1407"/>
      <c r="H20" s="1407"/>
      <c r="I20" s="1407"/>
      <c r="J20" s="1407"/>
      <c r="K20" s="1407"/>
      <c r="L20" s="1407"/>
    </row>
    <row r="21" spans="2:12" ht="15" customHeight="1">
      <c r="B21" s="1407"/>
      <c r="C21" s="1407"/>
      <c r="D21" s="1407"/>
      <c r="E21" s="1407"/>
      <c r="F21" s="1407"/>
      <c r="H21" s="1407"/>
      <c r="I21" s="1407"/>
      <c r="J21" s="1407"/>
      <c r="K21" s="1407"/>
      <c r="L21" s="1407"/>
    </row>
    <row r="22" spans="2:12" ht="15" customHeight="1">
      <c r="B22" s="1407"/>
      <c r="C22" s="1407"/>
      <c r="D22" s="1407"/>
      <c r="E22" s="1407"/>
      <c r="F22" s="1407"/>
      <c r="H22" s="1407"/>
      <c r="I22" s="1407"/>
      <c r="J22" s="1407"/>
      <c r="K22" s="1407"/>
      <c r="L22" s="1407"/>
    </row>
    <row r="23" spans="2:12" ht="15" customHeight="1">
      <c r="B23" s="1407"/>
      <c r="C23" s="1407"/>
      <c r="D23" s="1407"/>
      <c r="E23" s="1407"/>
      <c r="F23" s="1407"/>
      <c r="H23" s="1407"/>
      <c r="I23" s="1407"/>
      <c r="J23" s="1407"/>
      <c r="K23" s="1407"/>
      <c r="L23" s="1407"/>
    </row>
    <row r="24" spans="2:12" ht="15" customHeight="1">
      <c r="B24" s="1407"/>
      <c r="C24" s="1407"/>
      <c r="D24" s="1407"/>
      <c r="E24" s="1407"/>
      <c r="F24" s="1407"/>
      <c r="H24" s="1407"/>
      <c r="I24" s="1407"/>
      <c r="J24" s="1407"/>
      <c r="K24" s="1407"/>
      <c r="L24" s="1407"/>
    </row>
    <row r="25" spans="2:12" ht="15" customHeight="1">
      <c r="B25" s="1407"/>
      <c r="C25" s="1407"/>
      <c r="D25" s="1407"/>
      <c r="E25" s="1407"/>
      <c r="F25" s="1407"/>
      <c r="H25" s="1407"/>
      <c r="I25" s="1407"/>
      <c r="J25" s="1407"/>
      <c r="K25" s="1407"/>
      <c r="L25" s="1407"/>
    </row>
    <row r="26" spans="2:12" ht="15" customHeight="1">
      <c r="B26" s="1333"/>
      <c r="C26" s="1333"/>
      <c r="D26" s="1333"/>
      <c r="E26" s="1333"/>
      <c r="F26" s="1333"/>
      <c r="H26" s="1333"/>
      <c r="I26" s="1333"/>
      <c r="J26" s="1333"/>
      <c r="K26" s="1333"/>
      <c r="L26" s="1333"/>
    </row>
    <row r="27" spans="2:12" ht="15" customHeight="1">
      <c r="B27" s="1407" t="e" vm="3">
        <v>#VALUE!</v>
      </c>
      <c r="C27" s="1407"/>
      <c r="D27" s="1407"/>
      <c r="E27" s="1407"/>
      <c r="F27" s="1407"/>
      <c r="H27" s="1407" t="e" vm="4">
        <v>#VALUE!</v>
      </c>
      <c r="I27" s="1407"/>
      <c r="J27" s="1407"/>
      <c r="K27" s="1333"/>
      <c r="L27" s="1333"/>
    </row>
    <row r="28" spans="2:12" ht="15" customHeight="1">
      <c r="B28" s="1407"/>
      <c r="C28" s="1407"/>
      <c r="D28" s="1407"/>
      <c r="E28" s="1407"/>
      <c r="F28" s="1407"/>
      <c r="H28" s="1407"/>
      <c r="I28" s="1407"/>
      <c r="J28" s="1407"/>
      <c r="K28" s="1333"/>
      <c r="L28" s="1333"/>
    </row>
    <row r="29" spans="2:12" ht="15" customHeight="1">
      <c r="B29" s="1407"/>
      <c r="C29" s="1407"/>
      <c r="D29" s="1407"/>
      <c r="E29" s="1407"/>
      <c r="F29" s="1407"/>
      <c r="H29" s="1407"/>
      <c r="I29" s="1407"/>
      <c r="J29" s="1407"/>
      <c r="K29" s="1333"/>
      <c r="L29" s="1333"/>
    </row>
    <row r="30" spans="2:12" ht="15" customHeight="1">
      <c r="B30" s="1407"/>
      <c r="C30" s="1407"/>
      <c r="D30" s="1407"/>
      <c r="E30" s="1407"/>
      <c r="F30" s="1407"/>
      <c r="H30" s="1407"/>
      <c r="I30" s="1407"/>
      <c r="J30" s="1407"/>
      <c r="K30" s="1333"/>
      <c r="L30" s="1333"/>
    </row>
    <row r="31" spans="2:12" ht="15" customHeight="1">
      <c r="B31" s="1407"/>
      <c r="C31" s="1407"/>
      <c r="D31" s="1407"/>
      <c r="E31" s="1407"/>
      <c r="F31" s="1407"/>
      <c r="H31" s="1407"/>
      <c r="I31" s="1407"/>
      <c r="J31" s="1407"/>
      <c r="K31" s="1333"/>
      <c r="L31" s="1333"/>
    </row>
    <row r="32" spans="2:12" ht="15" customHeight="1">
      <c r="B32" s="1407"/>
      <c r="C32" s="1407"/>
      <c r="D32" s="1407"/>
      <c r="E32" s="1407"/>
      <c r="F32" s="1407"/>
      <c r="H32" s="1407"/>
      <c r="I32" s="1407"/>
      <c r="J32" s="1407"/>
      <c r="K32" s="1333"/>
      <c r="L32" s="1333"/>
    </row>
    <row r="33" spans="2:12" ht="15" customHeight="1">
      <c r="B33" s="1407"/>
      <c r="C33" s="1407"/>
      <c r="D33" s="1407"/>
      <c r="E33" s="1407"/>
      <c r="F33" s="1407"/>
      <c r="H33" s="1407"/>
      <c r="I33" s="1407"/>
      <c r="J33" s="1407"/>
      <c r="K33" s="1333"/>
      <c r="L33" s="1333"/>
    </row>
    <row r="34" spans="2:12" ht="15" customHeight="1">
      <c r="B34" s="1407"/>
      <c r="C34" s="1407"/>
      <c r="D34" s="1407"/>
      <c r="E34" s="1407"/>
      <c r="F34" s="1407"/>
      <c r="H34" s="1407"/>
      <c r="I34" s="1407"/>
      <c r="J34" s="1407"/>
      <c r="K34" s="1333"/>
      <c r="L34" s="1333"/>
    </row>
    <row r="35" spans="2:12" ht="15" customHeight="1">
      <c r="B35" s="1407"/>
      <c r="C35" s="1407"/>
      <c r="D35" s="1407"/>
      <c r="E35" s="1407"/>
      <c r="F35" s="1407"/>
      <c r="H35" s="1407"/>
      <c r="I35" s="1407"/>
      <c r="J35" s="1407"/>
      <c r="K35" s="1333"/>
      <c r="L35" s="1333"/>
    </row>
    <row r="36" spans="2:12" ht="15" customHeight="1">
      <c r="B36" s="1407"/>
      <c r="C36" s="1407"/>
      <c r="D36" s="1407"/>
      <c r="E36" s="1407"/>
      <c r="F36" s="1407"/>
      <c r="H36" s="1407"/>
      <c r="I36" s="1407"/>
      <c r="J36" s="1407"/>
      <c r="K36" s="1333"/>
      <c r="L36" s="1333"/>
    </row>
    <row r="37" spans="2:12" ht="15" customHeight="1">
      <c r="B37" s="1407"/>
      <c r="C37" s="1407"/>
      <c r="D37" s="1407"/>
      <c r="E37" s="1407"/>
      <c r="F37" s="1407"/>
      <c r="H37" s="1407"/>
      <c r="I37" s="1407"/>
      <c r="J37" s="1407"/>
      <c r="K37" s="1333"/>
      <c r="L37" s="1333"/>
    </row>
    <row r="38" spans="2:12" ht="15" customHeight="1">
      <c r="B38" s="1407"/>
      <c r="C38" s="1407"/>
      <c r="D38" s="1407"/>
      <c r="E38" s="1407"/>
      <c r="F38" s="1407"/>
      <c r="H38" s="1407"/>
      <c r="I38" s="1407"/>
      <c r="J38" s="1407"/>
      <c r="K38" s="1333"/>
      <c r="L38" s="1333"/>
    </row>
    <row r="39" spans="2:12" ht="15" customHeight="1">
      <c r="B39" s="1407"/>
      <c r="C39" s="1407"/>
      <c r="D39" s="1407"/>
      <c r="E39" s="1407"/>
      <c r="F39" s="1407"/>
      <c r="H39" s="1407"/>
      <c r="I39" s="1407"/>
      <c r="J39" s="1407"/>
      <c r="K39" s="1333"/>
      <c r="L39" s="1333"/>
    </row>
    <row r="40" spans="2:12" ht="15" customHeight="1">
      <c r="B40" s="1407"/>
      <c r="C40" s="1407"/>
      <c r="D40" s="1407"/>
      <c r="E40" s="1407"/>
      <c r="F40" s="1407"/>
      <c r="H40" s="1407"/>
      <c r="I40" s="1407"/>
      <c r="J40" s="1407"/>
      <c r="K40" s="1333"/>
      <c r="L40" s="1333"/>
    </row>
    <row r="41" spans="2:12" ht="15" customHeight="1">
      <c r="B41" s="1407"/>
      <c r="C41" s="1407"/>
      <c r="D41" s="1407"/>
      <c r="E41" s="1407"/>
      <c r="F41" s="1407"/>
      <c r="H41" s="1407"/>
      <c r="I41" s="1407"/>
      <c r="J41" s="1407"/>
      <c r="K41" s="1333"/>
      <c r="L41" s="1333"/>
    </row>
    <row r="42" spans="2:12" ht="15" customHeight="1">
      <c r="B42" s="1407"/>
      <c r="C42" s="1407"/>
      <c r="D42" s="1407"/>
      <c r="E42" s="1407"/>
      <c r="F42" s="1407"/>
      <c r="H42" s="1407"/>
      <c r="I42" s="1407"/>
      <c r="J42" s="1407"/>
      <c r="K42" s="1333"/>
      <c r="L42" s="1333"/>
    </row>
    <row r="43" spans="2:12" ht="15" customHeight="1">
      <c r="B43" s="1407"/>
      <c r="C43" s="1407"/>
      <c r="D43" s="1407"/>
      <c r="E43" s="1407"/>
      <c r="F43" s="1407"/>
      <c r="H43" s="1407"/>
      <c r="I43" s="1407"/>
      <c r="J43" s="1407"/>
      <c r="K43" s="1333"/>
      <c r="L43" s="1333"/>
    </row>
    <row r="44" spans="2:12" ht="15" customHeight="1">
      <c r="B44" s="1407"/>
      <c r="C44" s="1407"/>
      <c r="D44" s="1407"/>
      <c r="E44" s="1407"/>
      <c r="F44" s="1407"/>
      <c r="H44" s="1407"/>
      <c r="I44" s="1407"/>
      <c r="J44" s="1407"/>
      <c r="K44" s="1333"/>
      <c r="L44" s="1333"/>
    </row>
    <row r="45" spans="2:12" ht="15" customHeight="1">
      <c r="B45" s="1407"/>
      <c r="C45" s="1407"/>
      <c r="D45" s="1407"/>
      <c r="E45" s="1407"/>
      <c r="F45" s="1407"/>
      <c r="H45" s="1407"/>
      <c r="I45" s="1407"/>
      <c r="J45" s="1407"/>
      <c r="K45" s="1333"/>
      <c r="L45" s="1333"/>
    </row>
    <row r="46" spans="2:12" ht="15" customHeight="1">
      <c r="B46" s="1407"/>
      <c r="C46" s="1407"/>
      <c r="D46" s="1407"/>
      <c r="E46" s="1407"/>
      <c r="F46" s="1407"/>
      <c r="H46" s="1407"/>
      <c r="I46" s="1407"/>
      <c r="J46" s="1407"/>
      <c r="K46" s="1333"/>
      <c r="L46" s="1333"/>
    </row>
    <row r="47" spans="2:12" ht="15" customHeight="1">
      <c r="B47" s="1407"/>
      <c r="C47" s="1407"/>
      <c r="D47" s="1407"/>
      <c r="E47" s="1407"/>
      <c r="F47" s="1407"/>
      <c r="H47" s="1407"/>
      <c r="I47" s="1407"/>
      <c r="J47" s="1407"/>
      <c r="K47" s="1333"/>
      <c r="L47" s="1333"/>
    </row>
    <row r="48" spans="2:12" ht="15" customHeight="1">
      <c r="B48" s="1407"/>
      <c r="C48" s="1407"/>
      <c r="D48" s="1407"/>
      <c r="E48" s="1407"/>
      <c r="F48" s="1407"/>
      <c r="H48" s="1407"/>
      <c r="I48" s="1407"/>
      <c r="J48" s="1407"/>
      <c r="K48" s="1333"/>
      <c r="L48" s="1333"/>
    </row>
    <row r="49" spans="2:12" ht="15" customHeight="1">
      <c r="B49" s="1407"/>
      <c r="C49" s="1407"/>
      <c r="D49" s="1407"/>
      <c r="E49" s="1407"/>
      <c r="F49" s="1407"/>
      <c r="H49" s="1407"/>
      <c r="I49" s="1407"/>
      <c r="J49" s="1407"/>
      <c r="K49" s="1333"/>
      <c r="L49" s="1333"/>
    </row>
    <row r="50" spans="2:12" ht="15" customHeight="1">
      <c r="B50" s="1407"/>
      <c r="C50" s="1407"/>
      <c r="D50" s="1407"/>
      <c r="E50" s="1407"/>
      <c r="F50" s="1407"/>
      <c r="H50" s="1407"/>
      <c r="I50" s="1407"/>
      <c r="J50" s="1407"/>
      <c r="K50" s="1333"/>
      <c r="L50" s="1333"/>
    </row>
    <row r="51" spans="2:12" ht="15" customHeight="1">
      <c r="B51" s="1407"/>
      <c r="C51" s="1407"/>
      <c r="D51" s="1407"/>
      <c r="E51" s="1407"/>
      <c r="F51" s="1407"/>
      <c r="H51" s="1407"/>
      <c r="I51" s="1407"/>
      <c r="J51" s="1407"/>
      <c r="K51" s="1333"/>
      <c r="L51" s="1333"/>
    </row>
  </sheetData>
  <mergeCells count="5">
    <mergeCell ref="H5:L25"/>
    <mergeCell ref="B2:L3"/>
    <mergeCell ref="H27:J51"/>
    <mergeCell ref="B27:F51"/>
    <mergeCell ref="B5:F2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BE555-DEF2-4800-B832-7C2C809B6CA5}">
  <sheetPr>
    <pageSetUpPr fitToPage="1"/>
  </sheetPr>
  <dimension ref="A1:AL41"/>
  <sheetViews>
    <sheetView zoomScale="85" zoomScaleNormal="85" zoomScaleSheetLayoutView="90" workbookViewId="0">
      <selection activeCell="AG22" sqref="AG22"/>
    </sheetView>
  </sheetViews>
  <sheetFormatPr baseColWidth="10" defaultColWidth="8.83203125" defaultRowHeight="15"/>
  <cols>
    <col min="1" max="1" width="22.6640625" customWidth="1"/>
    <col min="2" max="2" width="2.83203125" customWidth="1"/>
    <col min="3" max="3" width="15.6640625" customWidth="1"/>
    <col min="4" max="4" width="4.6640625" customWidth="1"/>
    <col min="5" max="5" width="15.6640625" customWidth="1"/>
    <col min="6" max="6" width="1.6640625" customWidth="1"/>
    <col min="7" max="7" width="15.6640625" customWidth="1"/>
    <col min="8" max="8" width="1.6640625" customWidth="1"/>
    <col min="9" max="9" width="15.6640625" customWidth="1"/>
    <col min="10" max="10" width="1.6640625" customWidth="1"/>
    <col min="11" max="11" width="15.6640625" customWidth="1"/>
    <col min="12" max="12" width="4.6640625" customWidth="1"/>
    <col min="13" max="13" width="15.6640625" customWidth="1"/>
    <col min="14" max="14" width="2.6640625" customWidth="1"/>
    <col min="15" max="15" width="15.6640625" customWidth="1"/>
    <col min="16" max="16" width="3.5" customWidth="1"/>
    <col min="17" max="17" width="15.6640625" customWidth="1"/>
    <col min="18" max="18" width="3.5" customWidth="1"/>
    <col min="19" max="19" width="15.6640625" customWidth="1"/>
    <col min="20" max="20" width="3.6640625" customWidth="1"/>
    <col min="21" max="21" width="15.6640625" customWidth="1"/>
    <col min="22" max="22" width="1.6640625" customWidth="1"/>
    <col min="23" max="23" width="15.6640625" customWidth="1"/>
    <col min="24" max="24" width="4.6640625" customWidth="1"/>
    <col min="25" max="25" width="15.6640625" customWidth="1"/>
    <col min="26" max="26" width="1.6640625" customWidth="1"/>
    <col min="27" max="27" width="15.6640625" customWidth="1"/>
    <col min="28" max="28" width="1.6640625" customWidth="1"/>
    <col min="29" max="29" width="15.6640625" customWidth="1"/>
    <col min="30" max="30" width="1.6640625" customWidth="1"/>
    <col min="31" max="31" width="15.6640625" customWidth="1"/>
    <col min="32" max="32" width="1.6640625" customWidth="1"/>
    <col min="33" max="33" width="15.6640625" customWidth="1"/>
  </cols>
  <sheetData>
    <row r="1" spans="1:38" ht="21">
      <c r="A1" s="1243" t="s">
        <v>400</v>
      </c>
      <c r="B1" s="1243"/>
    </row>
    <row r="2" spans="1:38" ht="20">
      <c r="A2" s="1243"/>
      <c r="B2" s="1243"/>
    </row>
    <row r="3" spans="1:38" ht="21">
      <c r="A3" s="1244" t="s">
        <v>401</v>
      </c>
      <c r="B3" s="1243"/>
    </row>
    <row r="4" spans="1:38" ht="16">
      <c r="A4" s="1245" t="s">
        <v>402</v>
      </c>
      <c r="B4" s="1245"/>
      <c r="C4" s="1246"/>
      <c r="D4" s="1246"/>
      <c r="E4" s="1246"/>
      <c r="F4" s="1246"/>
      <c r="G4" s="1246"/>
      <c r="H4" s="1246"/>
      <c r="I4" s="1246"/>
      <c r="J4" s="1246"/>
      <c r="K4" s="1246"/>
    </row>
    <row r="5" spans="1:38" ht="16">
      <c r="A5" s="1245" t="s">
        <v>403</v>
      </c>
      <c r="B5" s="1245"/>
      <c r="C5" s="1246"/>
      <c r="D5" s="1246"/>
      <c r="E5" s="1246"/>
      <c r="F5" s="1246"/>
      <c r="G5" s="1246"/>
      <c r="H5" s="1246"/>
      <c r="I5" s="1246"/>
      <c r="J5" s="1246"/>
      <c r="K5" s="1246"/>
    </row>
    <row r="6" spans="1:38" ht="20">
      <c r="A6" s="1247"/>
      <c r="B6" s="1243"/>
      <c r="C6" s="1248"/>
      <c r="U6" s="1248"/>
      <c r="V6" s="1248"/>
    </row>
    <row r="7" spans="1:38" ht="48">
      <c r="A7" s="1249"/>
      <c r="B7" s="1250"/>
      <c r="C7" s="1251" t="s">
        <v>84</v>
      </c>
      <c r="D7" s="1252"/>
      <c r="E7" s="1408" t="s">
        <v>404</v>
      </c>
      <c r="F7" s="1408"/>
      <c r="G7" s="1408"/>
      <c r="H7" s="1251"/>
      <c r="I7" s="1251"/>
      <c r="J7" s="1251"/>
      <c r="K7" s="1251" t="s">
        <v>405</v>
      </c>
      <c r="L7" s="1253"/>
      <c r="M7" s="1408" t="s">
        <v>406</v>
      </c>
      <c r="N7" s="1408"/>
      <c r="O7" s="1408"/>
      <c r="P7" s="1254"/>
      <c r="Q7" s="1251" t="s">
        <v>407</v>
      </c>
      <c r="R7" s="1251"/>
      <c r="S7" s="1251"/>
      <c r="T7" s="1251"/>
      <c r="U7" s="1251" t="s">
        <v>408</v>
      </c>
      <c r="V7" s="1251"/>
      <c r="W7" s="1251" t="s">
        <v>409</v>
      </c>
      <c r="X7" s="1251"/>
      <c r="Y7" s="1251" t="s">
        <v>410</v>
      </c>
      <c r="Z7" s="1253"/>
      <c r="AA7" s="1251" t="s">
        <v>411</v>
      </c>
      <c r="AC7" s="1255" t="s">
        <v>412</v>
      </c>
      <c r="AE7" s="1251" t="s">
        <v>413</v>
      </c>
      <c r="AF7" s="1256"/>
      <c r="AG7" s="1251" t="s">
        <v>414</v>
      </c>
    </row>
    <row r="8" spans="1:38" ht="32">
      <c r="A8" s="1257" t="s">
        <v>415</v>
      </c>
      <c r="B8" s="1258"/>
      <c r="C8" s="1257" t="s">
        <v>416</v>
      </c>
      <c r="D8" s="1248"/>
      <c r="E8" s="1257" t="s">
        <v>417</v>
      </c>
      <c r="F8" s="1258"/>
      <c r="G8" s="1257" t="s">
        <v>418</v>
      </c>
      <c r="H8" s="1258"/>
      <c r="I8" s="1257" t="s">
        <v>419</v>
      </c>
      <c r="J8" s="1258"/>
      <c r="K8" s="1257" t="s">
        <v>420</v>
      </c>
      <c r="L8" s="1258"/>
      <c r="M8" s="1257" t="s">
        <v>419</v>
      </c>
      <c r="N8" s="1258"/>
      <c r="O8" s="1257" t="s">
        <v>418</v>
      </c>
      <c r="P8" s="1248"/>
      <c r="Q8" s="1257" t="s">
        <v>421</v>
      </c>
      <c r="R8" s="1258"/>
      <c r="S8" s="1259" t="s">
        <v>422</v>
      </c>
      <c r="T8" s="1258"/>
      <c r="U8" s="1257" t="s">
        <v>423</v>
      </c>
      <c r="V8" s="1258"/>
      <c r="W8" s="1257" t="s">
        <v>424</v>
      </c>
      <c r="X8" s="1258"/>
      <c r="Y8" s="1257" t="s">
        <v>425</v>
      </c>
      <c r="Z8" s="1248"/>
      <c r="AA8" s="1257"/>
      <c r="AB8" s="1248"/>
      <c r="AC8" s="1257" t="s">
        <v>426</v>
      </c>
      <c r="AD8" s="1258"/>
      <c r="AE8" s="1260"/>
      <c r="AG8" s="1261"/>
    </row>
    <row r="9" spans="1:38" ht="16" thickBot="1">
      <c r="A9" s="1248"/>
      <c r="B9" s="1248"/>
      <c r="C9" s="1248" t="s">
        <v>73</v>
      </c>
      <c r="D9" s="1248"/>
      <c r="E9" s="1248" t="s">
        <v>73</v>
      </c>
      <c r="F9" s="1248"/>
      <c r="G9" s="1248" t="s">
        <v>73</v>
      </c>
      <c r="H9" s="1248"/>
      <c r="I9" s="1248"/>
      <c r="J9" s="1248"/>
      <c r="K9" s="1248" t="s">
        <v>73</v>
      </c>
      <c r="L9" s="1248"/>
      <c r="M9" s="1248" t="s">
        <v>73</v>
      </c>
      <c r="N9" s="1248"/>
      <c r="O9" s="1248" t="s">
        <v>73</v>
      </c>
      <c r="P9" s="1248"/>
      <c r="Q9" s="1248" t="s">
        <v>73</v>
      </c>
      <c r="R9" s="1248"/>
      <c r="S9" s="1248"/>
      <c r="T9" s="1248"/>
      <c r="U9" s="1248" t="s">
        <v>73</v>
      </c>
      <c r="V9" s="1248"/>
      <c r="W9" s="1248" t="s">
        <v>229</v>
      </c>
      <c r="X9" s="1248"/>
      <c r="Y9" s="1248" t="s">
        <v>73</v>
      </c>
      <c r="Z9" s="1248"/>
      <c r="AA9" s="1248" t="s">
        <v>73</v>
      </c>
      <c r="AB9" s="1248"/>
      <c r="AC9" s="1248" t="s">
        <v>427</v>
      </c>
      <c r="AD9" s="1248"/>
      <c r="AE9" t="s">
        <v>428</v>
      </c>
      <c r="AG9" t="s">
        <v>81</v>
      </c>
    </row>
    <row r="10" spans="1:38" s="1278" customFormat="1">
      <c r="A10" s="1262">
        <v>11</v>
      </c>
      <c r="B10" s="1248"/>
      <c r="C10" s="1263">
        <v>858</v>
      </c>
      <c r="D10" s="1248"/>
      <c r="E10" s="1264">
        <v>632</v>
      </c>
      <c r="F10" s="1248"/>
      <c r="G10" s="1265">
        <v>0</v>
      </c>
      <c r="H10" s="1248"/>
      <c r="I10" s="1266">
        <v>7</v>
      </c>
      <c r="J10" s="1248"/>
      <c r="K10" s="1267">
        <f>E10+G10+I10</f>
        <v>639</v>
      </c>
      <c r="L10" s="1248"/>
      <c r="M10" s="1266">
        <v>44</v>
      </c>
      <c r="N10" s="1268"/>
      <c r="O10" s="1269">
        <v>78</v>
      </c>
      <c r="P10" s="1248"/>
      <c r="Q10" s="1267">
        <f>M10+O10</f>
        <v>122</v>
      </c>
      <c r="R10" s="1248"/>
      <c r="S10" s="1270">
        <f t="shared" ref="S10:S19" si="0">K10+Q10</f>
        <v>761</v>
      </c>
      <c r="T10" s="1248"/>
      <c r="U10" s="1271">
        <f t="shared" ref="U10:U20" si="1">E10+G10+M10+O10</f>
        <v>754</v>
      </c>
      <c r="V10" s="1272"/>
      <c r="W10" s="1273">
        <f t="shared" ref="W10:W19" si="2">U10/C10</f>
        <v>0.87878787878787878</v>
      </c>
      <c r="X10" s="1248"/>
      <c r="Y10" s="1262">
        <v>0</v>
      </c>
      <c r="Z10" s="1248"/>
      <c r="AA10" s="1274">
        <v>0</v>
      </c>
      <c r="AB10" s="1248"/>
      <c r="AC10" s="1274">
        <f t="shared" ref="AC10:AC19" si="3">K10/8</f>
        <v>79.875</v>
      </c>
      <c r="AD10" s="1248"/>
      <c r="AE10" s="1275">
        <v>3.6</v>
      </c>
      <c r="AF10" s="1276"/>
      <c r="AG10" s="1277">
        <f t="shared" ref="AG10:AG20" si="4">C10*AE10</f>
        <v>3088.8</v>
      </c>
      <c r="AH10"/>
      <c r="AI10"/>
      <c r="AJ10"/>
      <c r="AK10"/>
      <c r="AL10"/>
    </row>
    <row r="11" spans="1:38">
      <c r="A11" s="1279">
        <v>10</v>
      </c>
      <c r="B11" s="1280"/>
      <c r="C11" s="1281">
        <v>854</v>
      </c>
      <c r="D11" s="1248"/>
      <c r="E11" s="1282">
        <v>632</v>
      </c>
      <c r="F11" s="1248"/>
      <c r="G11" s="1283">
        <v>0</v>
      </c>
      <c r="H11" s="1248"/>
      <c r="I11" s="1284">
        <v>7</v>
      </c>
      <c r="J11" s="1248"/>
      <c r="K11" s="1285">
        <f>E11+G11+I11</f>
        <v>639</v>
      </c>
      <c r="L11" s="1248"/>
      <c r="M11" s="1284">
        <v>44</v>
      </c>
      <c r="N11" s="1248"/>
      <c r="O11" s="1286">
        <v>78</v>
      </c>
      <c r="P11" s="1248"/>
      <c r="Q11" s="1285">
        <f t="shared" ref="Q11:Q20" si="5">M11+O11</f>
        <v>122</v>
      </c>
      <c r="R11" s="1248"/>
      <c r="S11" s="1287">
        <f t="shared" si="0"/>
        <v>761</v>
      </c>
      <c r="T11" s="1248"/>
      <c r="U11" s="1281">
        <f t="shared" si="1"/>
        <v>754</v>
      </c>
      <c r="V11" s="1272"/>
      <c r="W11" s="1288">
        <f t="shared" si="2"/>
        <v>0.88290398126463698</v>
      </c>
      <c r="X11" s="1248"/>
      <c r="Y11" s="1279">
        <v>0</v>
      </c>
      <c r="Z11" s="1248"/>
      <c r="AA11" s="1289">
        <v>0</v>
      </c>
      <c r="AB11" s="1248"/>
      <c r="AC11" s="1289">
        <f t="shared" si="3"/>
        <v>79.875</v>
      </c>
      <c r="AD11" s="1248"/>
      <c r="AE11" s="1290">
        <v>3.6</v>
      </c>
      <c r="AF11" s="1276"/>
      <c r="AG11" s="1291">
        <f t="shared" si="4"/>
        <v>3074.4</v>
      </c>
    </row>
    <row r="12" spans="1:38">
      <c r="A12" s="1279">
        <v>9</v>
      </c>
      <c r="B12" s="1280"/>
      <c r="C12" s="1281">
        <v>971</v>
      </c>
      <c r="D12" s="1248"/>
      <c r="E12" s="1282">
        <v>706</v>
      </c>
      <c r="F12" s="1248"/>
      <c r="G12" s="1283">
        <v>0</v>
      </c>
      <c r="H12" s="1248"/>
      <c r="I12" s="1284">
        <v>7</v>
      </c>
      <c r="J12" s="1248"/>
      <c r="K12" s="1285">
        <f>E12+G12+I12</f>
        <v>713</v>
      </c>
      <c r="L12" s="1248"/>
      <c r="M12" s="1284">
        <v>44</v>
      </c>
      <c r="N12" s="1248"/>
      <c r="O12" s="1286">
        <v>155</v>
      </c>
      <c r="P12" s="1248"/>
      <c r="Q12" s="1285">
        <f t="shared" si="5"/>
        <v>199</v>
      </c>
      <c r="R12" s="1248"/>
      <c r="S12" s="1287">
        <f t="shared" si="0"/>
        <v>912</v>
      </c>
      <c r="T12" s="1248"/>
      <c r="U12" s="1281">
        <f t="shared" si="1"/>
        <v>905</v>
      </c>
      <c r="V12" s="1272"/>
      <c r="W12" s="1288">
        <f t="shared" si="2"/>
        <v>0.9320288362512873</v>
      </c>
      <c r="X12" s="1248"/>
      <c r="Y12" s="1279">
        <v>0</v>
      </c>
      <c r="Z12" s="1248"/>
      <c r="AA12" s="1289">
        <v>0</v>
      </c>
      <c r="AB12" s="1248"/>
      <c r="AC12" s="1289">
        <f t="shared" si="3"/>
        <v>89.125</v>
      </c>
      <c r="AD12" s="1248"/>
      <c r="AE12" s="1290">
        <v>3.6</v>
      </c>
      <c r="AF12" s="1276"/>
      <c r="AG12" s="1291">
        <f t="shared" si="4"/>
        <v>3495.6</v>
      </c>
    </row>
    <row r="13" spans="1:38">
      <c r="A13" s="1279">
        <v>8</v>
      </c>
      <c r="B13" s="1280"/>
      <c r="C13" s="1281">
        <v>1543</v>
      </c>
      <c r="D13" s="1248"/>
      <c r="E13" s="1282">
        <v>1272</v>
      </c>
      <c r="F13" s="1248"/>
      <c r="G13" s="1283">
        <v>0</v>
      </c>
      <c r="H13" s="1248"/>
      <c r="I13" s="1284">
        <v>14</v>
      </c>
      <c r="J13" s="1248"/>
      <c r="K13" s="1285">
        <f>E13+G13+I13</f>
        <v>1286</v>
      </c>
      <c r="L13" s="1248"/>
      <c r="M13" s="1284">
        <v>44</v>
      </c>
      <c r="N13" s="1248"/>
      <c r="O13" s="1286">
        <v>85</v>
      </c>
      <c r="P13" s="1248"/>
      <c r="Q13" s="1285">
        <f t="shared" si="5"/>
        <v>129</v>
      </c>
      <c r="R13" s="1248"/>
      <c r="S13" s="1287">
        <f t="shared" si="0"/>
        <v>1415</v>
      </c>
      <c r="T13" s="1248"/>
      <c r="U13" s="1281">
        <f t="shared" si="1"/>
        <v>1401</v>
      </c>
      <c r="V13" s="1272"/>
      <c r="W13" s="1288">
        <f t="shared" si="2"/>
        <v>0.90797148412184059</v>
      </c>
      <c r="X13" s="1248"/>
      <c r="Y13" s="1279">
        <v>0</v>
      </c>
      <c r="Z13" s="1248"/>
      <c r="AA13" s="1289">
        <v>0</v>
      </c>
      <c r="AB13" s="1248"/>
      <c r="AC13" s="1289">
        <f t="shared" si="3"/>
        <v>160.75</v>
      </c>
      <c r="AD13" s="1248"/>
      <c r="AE13" s="1290">
        <v>3.6</v>
      </c>
      <c r="AF13" s="1276"/>
      <c r="AG13" s="1291">
        <f t="shared" si="4"/>
        <v>5554.8</v>
      </c>
    </row>
    <row r="14" spans="1:38">
      <c r="A14" s="1279">
        <v>7</v>
      </c>
      <c r="B14" s="1280"/>
      <c r="C14" s="1281">
        <v>1609</v>
      </c>
      <c r="D14" s="1248"/>
      <c r="E14" s="1282">
        <v>1300</v>
      </c>
      <c r="F14" s="1248"/>
      <c r="G14" s="1283">
        <v>0</v>
      </c>
      <c r="H14" s="1248"/>
      <c r="I14" s="1284">
        <v>14</v>
      </c>
      <c r="J14" s="1248"/>
      <c r="K14" s="1285">
        <f t="shared" ref="K14:K19" si="6">E14+G14+I14</f>
        <v>1314</v>
      </c>
      <c r="L14" s="1248"/>
      <c r="M14" s="1284">
        <v>44</v>
      </c>
      <c r="N14" s="1248"/>
      <c r="O14" s="1286">
        <v>162</v>
      </c>
      <c r="P14" s="1248"/>
      <c r="Q14" s="1285">
        <f t="shared" si="5"/>
        <v>206</v>
      </c>
      <c r="R14" s="1248"/>
      <c r="S14" s="1287">
        <f t="shared" si="0"/>
        <v>1520</v>
      </c>
      <c r="T14" s="1248"/>
      <c r="U14" s="1281">
        <f t="shared" si="1"/>
        <v>1506</v>
      </c>
      <c r="V14" s="1272"/>
      <c r="W14" s="1288">
        <f t="shared" si="2"/>
        <v>0.93598508390304536</v>
      </c>
      <c r="X14" s="1248"/>
      <c r="Y14" s="1279">
        <v>0</v>
      </c>
      <c r="Z14" s="1248"/>
      <c r="AA14" s="1289">
        <v>0</v>
      </c>
      <c r="AB14" s="1248"/>
      <c r="AC14" s="1289">
        <f t="shared" si="3"/>
        <v>164.25</v>
      </c>
      <c r="AD14" s="1248"/>
      <c r="AE14" s="1290">
        <v>3.6</v>
      </c>
      <c r="AF14" s="1276"/>
      <c r="AG14" s="1291">
        <f t="shared" si="4"/>
        <v>5792.4000000000005</v>
      </c>
    </row>
    <row r="15" spans="1:38">
      <c r="A15" s="1279">
        <v>6</v>
      </c>
      <c r="B15" s="1280"/>
      <c r="C15" s="1281">
        <v>1609</v>
      </c>
      <c r="D15" s="1248"/>
      <c r="E15" s="1282">
        <v>1338</v>
      </c>
      <c r="F15" s="1248"/>
      <c r="G15" s="1283">
        <v>0</v>
      </c>
      <c r="H15" s="1248"/>
      <c r="I15" s="1284">
        <v>14</v>
      </c>
      <c r="J15" s="1248"/>
      <c r="K15" s="1285">
        <f t="shared" si="6"/>
        <v>1352</v>
      </c>
      <c r="L15" s="1248"/>
      <c r="M15" s="1284">
        <v>44</v>
      </c>
      <c r="N15" s="1248"/>
      <c r="O15" s="1286">
        <v>85</v>
      </c>
      <c r="P15" s="1248"/>
      <c r="Q15" s="1285">
        <f t="shared" si="5"/>
        <v>129</v>
      </c>
      <c r="R15" s="1248"/>
      <c r="S15" s="1287">
        <f t="shared" si="0"/>
        <v>1481</v>
      </c>
      <c r="T15" s="1248"/>
      <c r="U15" s="1281">
        <f t="shared" si="1"/>
        <v>1467</v>
      </c>
      <c r="V15" s="1272"/>
      <c r="W15" s="1288">
        <f t="shared" si="2"/>
        <v>0.91174642635177128</v>
      </c>
      <c r="X15" s="1248"/>
      <c r="Y15" s="1279">
        <v>0</v>
      </c>
      <c r="Z15" s="1248"/>
      <c r="AA15" s="1289">
        <v>0</v>
      </c>
      <c r="AB15" s="1248"/>
      <c r="AC15" s="1289">
        <f t="shared" si="3"/>
        <v>169</v>
      </c>
      <c r="AD15" s="1248"/>
      <c r="AE15" s="1290">
        <v>3.6</v>
      </c>
      <c r="AF15" s="1276"/>
      <c r="AG15" s="1291">
        <f t="shared" si="4"/>
        <v>5792.4000000000005</v>
      </c>
    </row>
    <row r="16" spans="1:38">
      <c r="A16" s="1279">
        <v>5</v>
      </c>
      <c r="B16" s="1280"/>
      <c r="C16" s="1281">
        <v>1609</v>
      </c>
      <c r="D16" s="1248"/>
      <c r="E16" s="1282">
        <v>1300</v>
      </c>
      <c r="F16" s="1248"/>
      <c r="G16" s="1283">
        <v>0</v>
      </c>
      <c r="H16" s="1248"/>
      <c r="I16" s="1284">
        <v>14</v>
      </c>
      <c r="J16" s="1248"/>
      <c r="K16" s="1285">
        <f t="shared" si="6"/>
        <v>1314</v>
      </c>
      <c r="L16" s="1248"/>
      <c r="M16" s="1284">
        <v>44</v>
      </c>
      <c r="N16" s="1248"/>
      <c r="O16" s="1286">
        <v>162</v>
      </c>
      <c r="P16" s="1248"/>
      <c r="Q16" s="1285">
        <f t="shared" si="5"/>
        <v>206</v>
      </c>
      <c r="R16" s="1248"/>
      <c r="S16" s="1287">
        <f t="shared" si="0"/>
        <v>1520</v>
      </c>
      <c r="T16" s="1248"/>
      <c r="U16" s="1281">
        <f t="shared" si="1"/>
        <v>1506</v>
      </c>
      <c r="V16" s="1272"/>
      <c r="W16" s="1288">
        <f t="shared" si="2"/>
        <v>0.93598508390304536</v>
      </c>
      <c r="X16" s="1248"/>
      <c r="Y16" s="1279">
        <v>0</v>
      </c>
      <c r="Z16" s="1248"/>
      <c r="AA16" s="1289">
        <v>0</v>
      </c>
      <c r="AB16" s="1248"/>
      <c r="AC16" s="1289">
        <f t="shared" si="3"/>
        <v>164.25</v>
      </c>
      <c r="AD16" s="1248"/>
      <c r="AE16" s="1290">
        <v>3.6</v>
      </c>
      <c r="AF16" s="1276"/>
      <c r="AG16" s="1291">
        <f t="shared" si="4"/>
        <v>5792.4000000000005</v>
      </c>
    </row>
    <row r="17" spans="1:38">
      <c r="A17" s="1279">
        <v>4</v>
      </c>
      <c r="B17" s="1280"/>
      <c r="C17" s="1281">
        <v>1609</v>
      </c>
      <c r="D17" s="1248"/>
      <c r="E17" s="1282">
        <v>1338</v>
      </c>
      <c r="F17" s="1248"/>
      <c r="G17" s="1283">
        <v>0</v>
      </c>
      <c r="H17" s="1248"/>
      <c r="I17" s="1284">
        <v>14</v>
      </c>
      <c r="J17" s="1248"/>
      <c r="K17" s="1285">
        <f t="shared" si="6"/>
        <v>1352</v>
      </c>
      <c r="L17" s="1248"/>
      <c r="M17" s="1284">
        <v>44</v>
      </c>
      <c r="N17" s="1248"/>
      <c r="O17" s="1286">
        <v>85</v>
      </c>
      <c r="P17" s="1248"/>
      <c r="Q17" s="1285">
        <f t="shared" si="5"/>
        <v>129</v>
      </c>
      <c r="R17" s="1248"/>
      <c r="S17" s="1287">
        <f t="shared" si="0"/>
        <v>1481</v>
      </c>
      <c r="T17" s="1248"/>
      <c r="U17" s="1281">
        <f t="shared" si="1"/>
        <v>1467</v>
      </c>
      <c r="V17" s="1272"/>
      <c r="W17" s="1288">
        <f t="shared" si="2"/>
        <v>0.91174642635177128</v>
      </c>
      <c r="X17" s="1248"/>
      <c r="Y17" s="1279">
        <v>0</v>
      </c>
      <c r="Z17" s="1248"/>
      <c r="AA17" s="1289">
        <v>0</v>
      </c>
      <c r="AB17" s="1248"/>
      <c r="AC17" s="1289">
        <f t="shared" si="3"/>
        <v>169</v>
      </c>
      <c r="AD17" s="1248"/>
      <c r="AE17" s="1290">
        <v>3.6</v>
      </c>
      <c r="AF17" s="1276"/>
      <c r="AG17" s="1291">
        <f t="shared" si="4"/>
        <v>5792.4000000000005</v>
      </c>
    </row>
    <row r="18" spans="1:38">
      <c r="A18" s="1279">
        <v>3</v>
      </c>
      <c r="B18" s="1280"/>
      <c r="C18" s="1281">
        <v>1609</v>
      </c>
      <c r="D18" s="1248"/>
      <c r="E18" s="1282">
        <v>1300</v>
      </c>
      <c r="F18" s="1248"/>
      <c r="G18" s="1283">
        <v>0</v>
      </c>
      <c r="H18" s="1248"/>
      <c r="I18" s="1284">
        <v>14</v>
      </c>
      <c r="J18" s="1248"/>
      <c r="K18" s="1285">
        <f t="shared" si="6"/>
        <v>1314</v>
      </c>
      <c r="L18" s="1248"/>
      <c r="M18" s="1284">
        <v>44</v>
      </c>
      <c r="N18" s="1248"/>
      <c r="O18" s="1286">
        <v>162</v>
      </c>
      <c r="P18" s="1248"/>
      <c r="Q18" s="1285">
        <f t="shared" si="5"/>
        <v>206</v>
      </c>
      <c r="R18" s="1248"/>
      <c r="S18" s="1287">
        <f t="shared" si="0"/>
        <v>1520</v>
      </c>
      <c r="T18" s="1248"/>
      <c r="U18" s="1281">
        <f t="shared" si="1"/>
        <v>1506</v>
      </c>
      <c r="V18" s="1272"/>
      <c r="W18" s="1288">
        <f t="shared" si="2"/>
        <v>0.93598508390304536</v>
      </c>
      <c r="X18" s="1248"/>
      <c r="Y18" s="1279">
        <v>0</v>
      </c>
      <c r="Z18" s="1248"/>
      <c r="AA18" s="1289">
        <v>0</v>
      </c>
      <c r="AB18" s="1248"/>
      <c r="AC18" s="1289">
        <f t="shared" si="3"/>
        <v>164.25</v>
      </c>
      <c r="AD18" s="1248"/>
      <c r="AE18" s="1290">
        <v>3.6</v>
      </c>
      <c r="AF18" s="1276"/>
      <c r="AG18" s="1291">
        <f t="shared" si="4"/>
        <v>5792.4000000000005</v>
      </c>
    </row>
    <row r="19" spans="1:38" s="1278" customFormat="1">
      <c r="A19" s="1279">
        <v>2</v>
      </c>
      <c r="B19" s="1280"/>
      <c r="C19" s="1281">
        <v>1609</v>
      </c>
      <c r="D19" s="1248"/>
      <c r="E19" s="1282">
        <v>1338</v>
      </c>
      <c r="F19" s="1248"/>
      <c r="G19" s="1283">
        <v>0</v>
      </c>
      <c r="H19" s="1248"/>
      <c r="I19" s="1284">
        <v>14</v>
      </c>
      <c r="J19" s="1248"/>
      <c r="K19" s="1285">
        <f t="shared" si="6"/>
        <v>1352</v>
      </c>
      <c r="L19" s="1248"/>
      <c r="M19" s="1284">
        <v>44</v>
      </c>
      <c r="N19" s="1248"/>
      <c r="O19" s="1286">
        <v>85</v>
      </c>
      <c r="P19" s="1248"/>
      <c r="Q19" s="1285">
        <f t="shared" si="5"/>
        <v>129</v>
      </c>
      <c r="R19" s="1248"/>
      <c r="S19" s="1287">
        <f t="shared" si="0"/>
        <v>1481</v>
      </c>
      <c r="T19" s="1248"/>
      <c r="U19" s="1281">
        <f t="shared" si="1"/>
        <v>1467</v>
      </c>
      <c r="V19" s="1272"/>
      <c r="W19" s="1288">
        <f t="shared" si="2"/>
        <v>0.91174642635177128</v>
      </c>
      <c r="X19" s="1248"/>
      <c r="Y19" s="1279">
        <v>0</v>
      </c>
      <c r="Z19" s="1248"/>
      <c r="AA19" s="1289">
        <v>0</v>
      </c>
      <c r="AB19" s="1248"/>
      <c r="AC19" s="1289">
        <f t="shared" si="3"/>
        <v>169</v>
      </c>
      <c r="AD19" s="1248"/>
      <c r="AE19" s="1290">
        <v>3.6</v>
      </c>
      <c r="AF19" s="1276"/>
      <c r="AG19" s="1291">
        <f t="shared" si="4"/>
        <v>5792.4000000000005</v>
      </c>
      <c r="AH19"/>
      <c r="AI19"/>
      <c r="AJ19"/>
      <c r="AK19"/>
      <c r="AL19"/>
    </row>
    <row r="20" spans="1:38" ht="16" thickBot="1">
      <c r="A20" s="1292">
        <v>1</v>
      </c>
      <c r="B20" s="1280"/>
      <c r="C20" s="1293">
        <v>1655</v>
      </c>
      <c r="D20" s="1248"/>
      <c r="E20" s="1294">
        <v>908</v>
      </c>
      <c r="F20" s="1248"/>
      <c r="G20" s="1295">
        <v>0</v>
      </c>
      <c r="H20" s="1248"/>
      <c r="I20" s="1296">
        <v>0</v>
      </c>
      <c r="J20" s="1248"/>
      <c r="K20" s="1297">
        <f>E20+G20+I20</f>
        <v>908</v>
      </c>
      <c r="L20" s="1248"/>
      <c r="M20" s="1296">
        <v>155</v>
      </c>
      <c r="N20" s="1248"/>
      <c r="O20" s="1298">
        <v>104</v>
      </c>
      <c r="P20" s="1248"/>
      <c r="Q20" s="1297">
        <f t="shared" si="5"/>
        <v>259</v>
      </c>
      <c r="R20" s="1248"/>
      <c r="S20" s="1299">
        <f>K20+Q20+Y20</f>
        <v>1407</v>
      </c>
      <c r="T20" s="1248"/>
      <c r="U20" s="1293">
        <f t="shared" si="1"/>
        <v>1167</v>
      </c>
      <c r="V20" s="1272"/>
      <c r="W20" s="1300"/>
      <c r="X20" s="1248"/>
      <c r="Y20" s="1301">
        <v>240</v>
      </c>
      <c r="Z20" s="1248"/>
      <c r="AA20" s="1302">
        <v>84</v>
      </c>
      <c r="AB20" s="1248"/>
      <c r="AC20" s="1302">
        <v>0</v>
      </c>
      <c r="AD20" s="1248"/>
      <c r="AE20" s="1303">
        <v>4.5</v>
      </c>
      <c r="AF20" s="1276"/>
      <c r="AG20" s="1304">
        <f t="shared" si="4"/>
        <v>7447.5</v>
      </c>
    </row>
    <row r="21" spans="1:38" ht="16" thickBot="1">
      <c r="A21" s="1248"/>
      <c r="B21" s="1248"/>
      <c r="C21" s="1305"/>
      <c r="D21" s="1248"/>
      <c r="E21" s="1248"/>
      <c r="F21" s="1248"/>
      <c r="G21" s="1248"/>
      <c r="H21" s="1248"/>
      <c r="I21" s="1248"/>
      <c r="J21" s="1248"/>
      <c r="K21" s="1248"/>
      <c r="L21" s="1248"/>
      <c r="M21" s="1248"/>
      <c r="N21" s="1248"/>
      <c r="O21" s="1248"/>
      <c r="P21" s="1248"/>
      <c r="Q21" s="1248"/>
      <c r="R21" s="1248"/>
      <c r="S21" s="1306"/>
      <c r="T21" s="1248"/>
      <c r="U21" s="1305"/>
      <c r="V21" s="1305"/>
      <c r="W21" s="1248"/>
      <c r="X21" s="1248"/>
      <c r="Y21" s="1248"/>
      <c r="Z21" s="1248"/>
      <c r="AA21" s="1307"/>
      <c r="AB21" s="1248"/>
      <c r="AC21" s="1307"/>
      <c r="AD21" s="1248"/>
      <c r="AE21" s="1308"/>
      <c r="AF21" s="1276"/>
      <c r="AG21" s="1276"/>
    </row>
    <row r="22" spans="1:38" ht="16" thickBot="1">
      <c r="A22" s="1309" t="s">
        <v>429</v>
      </c>
      <c r="B22" s="1280"/>
      <c r="C22" s="1310">
        <f>SUM(C10:C21)</f>
        <v>15535</v>
      </c>
      <c r="D22" s="1248"/>
      <c r="E22" s="1311">
        <f>SUM(E10:E21)</f>
        <v>12064</v>
      </c>
      <c r="F22" s="1280"/>
      <c r="G22" s="1312">
        <f>SUM(G10:G21)</f>
        <v>0</v>
      </c>
      <c r="H22" s="1280"/>
      <c r="I22" s="1313">
        <f>SUM(I10:I21)</f>
        <v>119</v>
      </c>
      <c r="J22" s="1280"/>
      <c r="K22" s="1314">
        <f>SUM(K10:K21)</f>
        <v>12183</v>
      </c>
      <c r="L22" s="1280"/>
      <c r="M22" s="1313">
        <f>SUM(M10:M21)</f>
        <v>595</v>
      </c>
      <c r="N22" s="1280"/>
      <c r="O22" s="1315">
        <f>SUM(O10:O21)</f>
        <v>1241</v>
      </c>
      <c r="P22" s="1280"/>
      <c r="Q22" s="1314">
        <f>SUM(Q10:Q21)</f>
        <v>1836</v>
      </c>
      <c r="R22" s="1316"/>
      <c r="S22" s="1317">
        <f>SUM(S10:S21)</f>
        <v>14259</v>
      </c>
      <c r="T22" s="1316"/>
      <c r="U22" s="1310">
        <f>SUM(U10:U21)</f>
        <v>13900</v>
      </c>
      <c r="V22" s="1272"/>
      <c r="W22" s="1318">
        <f>SUM(W10:W21)/10</f>
        <v>0.91448867111900933</v>
      </c>
      <c r="X22" s="1316"/>
      <c r="Y22" s="1319">
        <f>SUM(Y10:Y21)</f>
        <v>240</v>
      </c>
      <c r="Z22" s="1248"/>
      <c r="AA22" s="1320">
        <f>SUM(AA10:AA21)</f>
        <v>84</v>
      </c>
      <c r="AB22" s="1248"/>
      <c r="AC22" s="1320">
        <f>SUM(AC10:AC21)</f>
        <v>1409.375</v>
      </c>
      <c r="AD22" s="1248"/>
      <c r="AE22" s="1321"/>
      <c r="AF22" s="1276"/>
      <c r="AG22" s="1322">
        <f>SUM(AG10:AG21)</f>
        <v>57415.500000000007</v>
      </c>
    </row>
    <row r="23" spans="1:38" ht="16" thickBot="1">
      <c r="A23" s="1248"/>
      <c r="B23" s="1248"/>
      <c r="C23" s="1323"/>
      <c r="D23" s="1248"/>
      <c r="E23" s="1248"/>
      <c r="F23" s="1248"/>
      <c r="G23" s="1248"/>
      <c r="H23" s="1248"/>
      <c r="I23" s="1248"/>
      <c r="J23" s="1248"/>
      <c r="K23" s="1248"/>
      <c r="L23" s="1248"/>
      <c r="M23" s="1248"/>
      <c r="N23" s="1248"/>
      <c r="O23" s="1248"/>
      <c r="P23" s="1248"/>
      <c r="Q23" s="1248"/>
      <c r="R23" s="1248"/>
      <c r="S23" s="1248"/>
      <c r="T23" s="1248"/>
      <c r="U23" s="1323"/>
      <c r="V23" s="1323"/>
      <c r="W23" s="1324"/>
      <c r="X23" s="1248"/>
      <c r="Y23" s="1248"/>
      <c r="Z23" s="1248"/>
      <c r="AA23" s="1307"/>
      <c r="AE23" s="1308"/>
      <c r="AF23" s="1276"/>
      <c r="AG23" s="1276"/>
    </row>
    <row r="24" spans="1:38">
      <c r="A24" s="1262">
        <v>-1</v>
      </c>
      <c r="B24" s="1280"/>
      <c r="C24" s="1271">
        <v>1767</v>
      </c>
      <c r="D24" s="1248"/>
      <c r="E24" s="1248"/>
      <c r="F24" s="1248"/>
      <c r="G24" s="1248"/>
      <c r="H24" s="1248"/>
      <c r="I24" s="1248"/>
      <c r="J24" s="1248"/>
      <c r="K24" s="1248"/>
      <c r="L24" s="1248"/>
      <c r="M24" s="1248"/>
      <c r="N24" s="1248"/>
      <c r="O24" s="1248"/>
      <c r="P24" s="1248"/>
      <c r="Q24" s="1248"/>
      <c r="R24" s="1248"/>
      <c r="S24" s="1248"/>
      <c r="T24" s="1248"/>
      <c r="U24" s="1323"/>
      <c r="V24" s="1323"/>
      <c r="W24" s="1248"/>
      <c r="X24" s="1248"/>
      <c r="Y24" s="1248"/>
      <c r="Z24" s="1248"/>
      <c r="AA24" s="1274">
        <v>0</v>
      </c>
      <c r="AE24" s="1275">
        <v>3</v>
      </c>
      <c r="AF24" s="1276"/>
      <c r="AG24" s="1277">
        <f>C24*AE24</f>
        <v>5301</v>
      </c>
    </row>
    <row r="25" spans="1:38" ht="16" thickBot="1">
      <c r="A25" s="1301">
        <v>-2</v>
      </c>
      <c r="B25" s="1280"/>
      <c r="C25" s="1293">
        <v>1767</v>
      </c>
      <c r="D25" s="1248"/>
      <c r="E25" s="1248"/>
      <c r="F25" s="1248"/>
      <c r="G25" s="1248"/>
      <c r="H25" s="1248"/>
      <c r="I25" s="1248"/>
      <c r="J25" s="1248"/>
      <c r="K25" s="1248"/>
      <c r="L25" s="1248"/>
      <c r="M25" s="1248"/>
      <c r="N25" s="1248"/>
      <c r="O25" s="1248"/>
      <c r="P25" s="1248"/>
      <c r="Q25" s="1248"/>
      <c r="R25" s="1248"/>
      <c r="S25" s="1248"/>
      <c r="T25" s="1248"/>
      <c r="U25" s="1323"/>
      <c r="V25" s="1323"/>
      <c r="W25" s="1248"/>
      <c r="X25" s="1248"/>
      <c r="Y25" s="1248"/>
      <c r="Z25" s="1248"/>
      <c r="AA25" s="1302">
        <v>0</v>
      </c>
      <c r="AE25" s="1303">
        <v>3</v>
      </c>
      <c r="AF25" s="1276"/>
      <c r="AG25" s="1304">
        <f>C25*AE25</f>
        <v>5301</v>
      </c>
    </row>
    <row r="26" spans="1:38" ht="16" thickBot="1">
      <c r="A26" s="1248"/>
      <c r="B26" s="1248"/>
      <c r="C26" s="1323"/>
      <c r="D26" s="1248"/>
      <c r="E26" s="1248"/>
      <c r="F26" s="1248"/>
      <c r="G26" s="1248"/>
      <c r="H26" s="1248"/>
      <c r="I26" s="1248"/>
      <c r="J26" s="1248"/>
      <c r="K26" s="1248"/>
      <c r="L26" s="1248"/>
      <c r="M26" s="1248"/>
      <c r="N26" s="1248"/>
      <c r="O26" s="1280"/>
      <c r="P26" s="1280"/>
      <c r="Q26" s="1280"/>
      <c r="R26" s="1280"/>
      <c r="S26" s="1280"/>
      <c r="T26" s="1280"/>
      <c r="U26" s="1323"/>
      <c r="V26" s="1323"/>
      <c r="W26" s="1248"/>
      <c r="X26" s="1280"/>
      <c r="Y26" s="1280"/>
      <c r="Z26" s="1248"/>
      <c r="AA26" s="1307"/>
      <c r="AE26" s="1308"/>
      <c r="AF26" s="1276"/>
      <c r="AG26" s="1276"/>
    </row>
    <row r="27" spans="1:38" ht="16" thickBot="1">
      <c r="A27" s="1309" t="s">
        <v>430</v>
      </c>
      <c r="B27" s="1280"/>
      <c r="C27" s="1310">
        <f>SUM(C24:C26)</f>
        <v>3534</v>
      </c>
      <c r="D27" s="1248"/>
      <c r="E27" s="1248"/>
      <c r="F27" s="1248"/>
      <c r="G27" s="1248"/>
      <c r="H27" s="1248"/>
      <c r="I27" s="1248"/>
      <c r="J27" s="1248"/>
      <c r="K27" s="1248"/>
      <c r="L27" s="1248"/>
      <c r="M27" s="1248"/>
      <c r="N27" s="1248"/>
      <c r="O27" s="1272"/>
      <c r="P27" s="1272"/>
      <c r="Q27" s="1272"/>
      <c r="R27" s="1272"/>
      <c r="S27" s="1272"/>
      <c r="T27" s="1272"/>
      <c r="U27" s="1272"/>
      <c r="V27" s="1272"/>
      <c r="W27" s="1248"/>
      <c r="X27" s="1272"/>
      <c r="Y27" s="1272"/>
      <c r="Z27" s="1248"/>
      <c r="AA27" s="1325">
        <f>SUM(AA24:AA26)</f>
        <v>0</v>
      </c>
      <c r="AE27" s="1321"/>
      <c r="AF27" s="1276"/>
      <c r="AG27" s="1322">
        <f>SUM(AG24:AG26)</f>
        <v>10602</v>
      </c>
    </row>
    <row r="28" spans="1:38">
      <c r="M28" s="1248"/>
      <c r="O28" s="1272"/>
      <c r="P28" s="1272"/>
      <c r="Q28" s="1272"/>
      <c r="R28" s="1272"/>
      <c r="S28" s="1272"/>
      <c r="T28" s="1272"/>
      <c r="X28" s="1272"/>
      <c r="Y28" s="1272"/>
    </row>
    <row r="29" spans="1:38">
      <c r="M29" s="1248"/>
      <c r="O29" s="1272"/>
      <c r="P29" s="1272"/>
      <c r="Q29" s="1272"/>
      <c r="R29" s="1272"/>
      <c r="S29" s="1272"/>
      <c r="T29" s="1272"/>
      <c r="X29" s="1272"/>
      <c r="Y29" s="1272"/>
    </row>
    <row r="30" spans="1:38">
      <c r="A30" s="1326" t="s">
        <v>431</v>
      </c>
      <c r="M30" s="1248"/>
      <c r="O30" s="1272"/>
      <c r="P30" s="1272"/>
      <c r="Q30" s="1272"/>
      <c r="R30" s="1272"/>
      <c r="S30" s="1272"/>
      <c r="T30" s="1272"/>
      <c r="X30" s="1272"/>
      <c r="Y30" s="1272"/>
    </row>
    <row r="31" spans="1:38" ht="63.75" customHeight="1">
      <c r="A31" s="1409" t="s">
        <v>432</v>
      </c>
      <c r="B31" s="1409"/>
      <c r="C31" s="1409"/>
      <c r="D31" s="1409"/>
      <c r="E31" s="1409"/>
      <c r="F31" s="1409"/>
      <c r="G31" s="1409"/>
      <c r="H31" s="1409"/>
      <c r="I31" s="1409"/>
      <c r="J31" s="1409"/>
      <c r="K31" s="1409"/>
      <c r="M31" s="1248"/>
      <c r="O31" s="1272"/>
      <c r="P31" s="1272"/>
      <c r="Q31" s="1272"/>
      <c r="R31" s="1272"/>
      <c r="S31" s="1272"/>
      <c r="T31" s="1272"/>
      <c r="X31" s="1272"/>
      <c r="Y31" s="1272"/>
    </row>
    <row r="32" spans="1:38" ht="15" customHeight="1">
      <c r="A32" s="1327"/>
      <c r="B32" s="1327"/>
      <c r="C32" s="1327"/>
      <c r="D32" s="1327"/>
      <c r="E32" s="1327"/>
      <c r="F32" s="1327"/>
      <c r="G32" s="1327"/>
      <c r="H32" s="1327"/>
      <c r="I32" s="1327"/>
      <c r="J32" s="1327"/>
      <c r="K32" s="1327"/>
      <c r="M32" s="1248"/>
      <c r="O32" s="1272"/>
      <c r="P32" s="1272"/>
      <c r="Q32" s="1272"/>
      <c r="R32" s="1272"/>
      <c r="S32" s="1272"/>
      <c r="T32" s="1272"/>
      <c r="X32" s="1272"/>
      <c r="Y32" s="1272"/>
    </row>
    <row r="33" spans="1:25">
      <c r="A33" s="1328" t="s">
        <v>433</v>
      </c>
      <c r="B33" s="1"/>
    </row>
    <row r="34" spans="1:25">
      <c r="A34" s="1328" t="s">
        <v>434</v>
      </c>
      <c r="B34" s="1"/>
      <c r="O34" s="1272"/>
      <c r="P34" s="1272"/>
      <c r="Q34" s="1272"/>
      <c r="R34" s="1272"/>
      <c r="S34" s="1272"/>
      <c r="T34" s="1272"/>
      <c r="X34" s="1272"/>
      <c r="Y34" s="1272"/>
    </row>
    <row r="35" spans="1:25">
      <c r="A35" s="1328" t="s">
        <v>435</v>
      </c>
      <c r="B35" s="1"/>
    </row>
    <row r="36" spans="1:25">
      <c r="A36" s="1328" t="s">
        <v>436</v>
      </c>
      <c r="B36" s="1"/>
    </row>
    <row r="37" spans="1:25">
      <c r="A37" s="1328"/>
      <c r="B37" s="1"/>
    </row>
    <row r="38" spans="1:25">
      <c r="A38" s="1329" t="s">
        <v>437</v>
      </c>
      <c r="B38" s="1"/>
    </row>
    <row r="39" spans="1:25">
      <c r="A39" s="1329" t="s">
        <v>438</v>
      </c>
      <c r="B39" s="1"/>
    </row>
    <row r="40" spans="1:25">
      <c r="A40" s="1329" t="s">
        <v>439</v>
      </c>
      <c r="B40" s="1"/>
    </row>
    <row r="41" spans="1:25">
      <c r="A41" s="1329" t="s">
        <v>440</v>
      </c>
      <c r="B41" s="1"/>
    </row>
  </sheetData>
  <mergeCells count="3">
    <mergeCell ref="E7:G7"/>
    <mergeCell ref="M7:O7"/>
    <mergeCell ref="A31:K31"/>
  </mergeCells>
  <pageMargins left="0.70866141732283472" right="0.70866141732283472" top="0.74803149606299213" bottom="0.74803149606299213" header="0.31496062992125984" footer="0.31496062992125984"/>
  <pageSetup paperSize="8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DE582-3112-46D1-82DB-15A490DBF74B}">
  <sheetPr>
    <pageSetUpPr fitToPage="1"/>
  </sheetPr>
  <dimension ref="A2:CC70"/>
  <sheetViews>
    <sheetView zoomScaleNormal="100" zoomScaleSheetLayoutView="75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A6" sqref="A6"/>
    </sheetView>
  </sheetViews>
  <sheetFormatPr baseColWidth="10" defaultColWidth="9.5" defaultRowHeight="16"/>
  <cols>
    <col min="1" max="1" width="39" style="4" customWidth="1"/>
    <col min="2" max="2" width="99.1640625" style="4" customWidth="1"/>
    <col min="3" max="3" width="8.1640625" style="4" customWidth="1"/>
    <col min="4" max="10" width="4.83203125" style="3" customWidth="1"/>
    <col min="11" max="11" width="5.83203125" style="3" customWidth="1"/>
    <col min="12" max="21" width="4.83203125" style="3" customWidth="1"/>
    <col min="22" max="50" width="4.83203125" style="4" customWidth="1"/>
    <col min="51" max="51" width="5" style="4" bestFit="1" customWidth="1"/>
    <col min="52" max="62" width="4.83203125" style="4" customWidth="1"/>
    <col min="63" max="63" width="4.5" style="4" customWidth="1"/>
    <col min="64" max="74" width="4.83203125" style="4" customWidth="1"/>
    <col min="75" max="16384" width="9.5" style="4"/>
  </cols>
  <sheetData>
    <row r="2" spans="1:63" ht="55" customHeight="1">
      <c r="A2" s="1413"/>
      <c r="B2" s="1413"/>
      <c r="C2" s="2" t="s">
        <v>3</v>
      </c>
      <c r="D2" s="2"/>
      <c r="E2" s="2"/>
      <c r="F2" s="2"/>
      <c r="G2" s="2"/>
      <c r="H2" s="2"/>
      <c r="I2" s="2"/>
      <c r="J2" s="2"/>
      <c r="K2" s="2"/>
      <c r="L2" s="2"/>
    </row>
    <row r="3" spans="1:63" ht="47">
      <c r="A3" s="5" t="s">
        <v>571</v>
      </c>
      <c r="B3" s="6"/>
    </row>
    <row r="4" spans="1:63" ht="22">
      <c r="A4" s="7" t="s">
        <v>4</v>
      </c>
      <c r="C4" s="6"/>
    </row>
    <row r="5" spans="1:63">
      <c r="A5" s="8" t="s">
        <v>572</v>
      </c>
      <c r="C5" s="6"/>
    </row>
    <row r="6" spans="1:63">
      <c r="A6" s="9"/>
      <c r="C6" s="6"/>
    </row>
    <row r="7" spans="1:63" ht="10.75" customHeight="1" thickBot="1">
      <c r="A7" s="9"/>
      <c r="C7" s="6"/>
    </row>
    <row r="8" spans="1:63" ht="17" hidden="1" thickBot="1">
      <c r="A8" s="10"/>
      <c r="B8" s="11"/>
      <c r="C8" s="12" t="s">
        <v>3</v>
      </c>
      <c r="D8" s="13"/>
      <c r="E8" s="13"/>
      <c r="F8" s="13"/>
      <c r="G8" s="13"/>
      <c r="H8" s="13"/>
      <c r="I8" s="13"/>
      <c r="J8" s="13"/>
      <c r="K8" s="13"/>
      <c r="L8" s="13"/>
      <c r="M8" s="14" t="s">
        <v>3</v>
      </c>
      <c r="N8" s="13"/>
      <c r="O8" s="13"/>
      <c r="P8" s="15" t="s">
        <v>3</v>
      </c>
      <c r="Q8" s="15" t="s">
        <v>3</v>
      </c>
      <c r="R8" s="15" t="s">
        <v>5</v>
      </c>
      <c r="S8" s="15" t="s">
        <v>5</v>
      </c>
      <c r="T8" s="15" t="s">
        <v>5</v>
      </c>
      <c r="U8" s="15" t="s">
        <v>5</v>
      </c>
      <c r="V8" s="15" t="s">
        <v>5</v>
      </c>
      <c r="W8" s="15" t="s">
        <v>5</v>
      </c>
      <c r="X8" s="15" t="s">
        <v>5</v>
      </c>
      <c r="Y8" s="15" t="s">
        <v>5</v>
      </c>
      <c r="Z8" s="15" t="s">
        <v>5</v>
      </c>
      <c r="AA8" s="15" t="s">
        <v>5</v>
      </c>
      <c r="AB8" s="15" t="s">
        <v>5</v>
      </c>
      <c r="AC8" s="16"/>
      <c r="AD8" s="15" t="s">
        <v>5</v>
      </c>
      <c r="AE8" s="15" t="s">
        <v>5</v>
      </c>
      <c r="AF8" s="15" t="s">
        <v>5</v>
      </c>
      <c r="AG8" s="15" t="s">
        <v>5</v>
      </c>
      <c r="AH8" s="15" t="s">
        <v>5</v>
      </c>
      <c r="AI8" s="15" t="s">
        <v>5</v>
      </c>
      <c r="AJ8" s="15"/>
      <c r="AK8" s="15"/>
      <c r="AL8" s="15"/>
      <c r="AM8" s="17"/>
      <c r="AN8" s="15"/>
      <c r="AO8" s="15"/>
      <c r="AP8" s="15"/>
      <c r="AQ8" s="15"/>
      <c r="AR8" s="15"/>
      <c r="AS8" s="15"/>
      <c r="AT8" s="15"/>
      <c r="AU8" s="11"/>
      <c r="AV8" s="11"/>
      <c r="AW8" s="11"/>
      <c r="AX8" s="11"/>
      <c r="AY8" s="17"/>
      <c r="AZ8" s="15"/>
      <c r="BA8" s="15"/>
      <c r="BB8" s="15"/>
      <c r="BC8" s="15"/>
      <c r="BD8" s="15"/>
      <c r="BE8" s="15"/>
      <c r="BF8" s="15"/>
      <c r="BG8" s="11"/>
      <c r="BH8" s="11"/>
      <c r="BI8" s="11"/>
      <c r="BJ8" s="11"/>
      <c r="BK8" s="17"/>
    </row>
    <row r="9" spans="1:63" s="19" customFormat="1" ht="18" customHeight="1" thickBot="1">
      <c r="A9" s="18"/>
      <c r="C9" s="20"/>
      <c r="D9" s="1410">
        <v>2025</v>
      </c>
      <c r="E9" s="1411"/>
      <c r="F9" s="1411"/>
      <c r="G9" s="1411"/>
      <c r="H9" s="1411"/>
      <c r="I9" s="1411"/>
      <c r="J9" s="1411"/>
      <c r="K9" s="1411"/>
      <c r="L9" s="1411"/>
      <c r="M9" s="1411"/>
      <c r="N9" s="1411"/>
      <c r="O9" s="1412"/>
      <c r="P9" s="1410">
        <v>2026</v>
      </c>
      <c r="Q9" s="1411"/>
      <c r="R9" s="1411"/>
      <c r="S9" s="1411"/>
      <c r="T9" s="1411"/>
      <c r="U9" s="1411"/>
      <c r="V9" s="1411"/>
      <c r="W9" s="1411"/>
      <c r="X9" s="1411"/>
      <c r="Y9" s="1411"/>
      <c r="Z9" s="1411"/>
      <c r="AA9" s="1412"/>
      <c r="AB9" s="1410">
        <v>2027</v>
      </c>
      <c r="AC9" s="1411"/>
      <c r="AD9" s="1411"/>
      <c r="AE9" s="1411"/>
      <c r="AF9" s="1411"/>
      <c r="AG9" s="1411"/>
      <c r="AH9" s="1411"/>
      <c r="AI9" s="1411"/>
      <c r="AJ9" s="1411"/>
      <c r="AK9" s="1411"/>
      <c r="AL9" s="1411"/>
      <c r="AM9" s="1412"/>
      <c r="AN9" s="1410">
        <v>2028</v>
      </c>
      <c r="AO9" s="1411"/>
      <c r="AP9" s="1411"/>
      <c r="AQ9" s="1411"/>
      <c r="AR9" s="1411"/>
      <c r="AS9" s="1411"/>
      <c r="AT9" s="1411"/>
      <c r="AU9" s="1411"/>
      <c r="AV9" s="1411"/>
      <c r="AW9" s="1411"/>
      <c r="AX9" s="1411"/>
      <c r="AY9" s="1412"/>
      <c r="AZ9" s="1410">
        <v>2029</v>
      </c>
      <c r="BA9" s="1411"/>
      <c r="BB9" s="1411"/>
      <c r="BC9" s="1411"/>
      <c r="BD9" s="1411"/>
      <c r="BE9" s="1411"/>
      <c r="BF9" s="1411"/>
      <c r="BG9" s="1411"/>
      <c r="BH9" s="1411"/>
      <c r="BI9" s="1411"/>
      <c r="BJ9" s="1411"/>
      <c r="BK9" s="1412"/>
    </row>
    <row r="10" spans="1:63" ht="32.5" customHeight="1" thickBot="1">
      <c r="A10" s="21" t="s">
        <v>6</v>
      </c>
      <c r="B10" s="21" t="s">
        <v>7</v>
      </c>
      <c r="C10" s="22" t="s">
        <v>8</v>
      </c>
      <c r="D10" s="23">
        <v>45658</v>
      </c>
      <c r="E10" s="24">
        <v>45689</v>
      </c>
      <c r="F10" s="24">
        <v>45717</v>
      </c>
      <c r="G10" s="24">
        <v>45748</v>
      </c>
      <c r="H10" s="24">
        <v>45778</v>
      </c>
      <c r="I10" s="24">
        <v>45809</v>
      </c>
      <c r="J10" s="24">
        <v>45839</v>
      </c>
      <c r="K10" s="24">
        <v>45870</v>
      </c>
      <c r="L10" s="24">
        <v>45901</v>
      </c>
      <c r="M10" s="24">
        <v>45931</v>
      </c>
      <c r="N10" s="24">
        <v>45962</v>
      </c>
      <c r="O10" s="25">
        <v>45992</v>
      </c>
      <c r="P10" s="23">
        <v>46023</v>
      </c>
      <c r="Q10" s="24">
        <v>46054</v>
      </c>
      <c r="R10" s="24">
        <v>46082</v>
      </c>
      <c r="S10" s="24">
        <v>46113</v>
      </c>
      <c r="T10" s="24">
        <v>46143</v>
      </c>
      <c r="U10" s="24">
        <v>46174</v>
      </c>
      <c r="V10" s="24">
        <v>46204</v>
      </c>
      <c r="W10" s="24">
        <v>46235</v>
      </c>
      <c r="X10" s="24">
        <v>46266</v>
      </c>
      <c r="Y10" s="24">
        <v>46296</v>
      </c>
      <c r="Z10" s="24">
        <v>46327</v>
      </c>
      <c r="AA10" s="25">
        <v>46357</v>
      </c>
      <c r="AB10" s="23">
        <v>46388</v>
      </c>
      <c r="AC10" s="24">
        <v>46419</v>
      </c>
      <c r="AD10" s="24">
        <v>46447</v>
      </c>
      <c r="AE10" s="24">
        <v>46478</v>
      </c>
      <c r="AF10" s="26" t="s">
        <v>9</v>
      </c>
      <c r="AG10" s="26" t="s">
        <v>10</v>
      </c>
      <c r="AH10" s="26" t="s">
        <v>11</v>
      </c>
      <c r="AI10" s="26" t="s">
        <v>12</v>
      </c>
      <c r="AJ10" s="26" t="s">
        <v>13</v>
      </c>
      <c r="AK10" s="26" t="s">
        <v>14</v>
      </c>
      <c r="AL10" s="27">
        <v>46692</v>
      </c>
      <c r="AM10" s="28">
        <v>46722</v>
      </c>
      <c r="AN10" s="23">
        <v>46753</v>
      </c>
      <c r="AO10" s="24">
        <v>46784</v>
      </c>
      <c r="AP10" s="24">
        <v>46813</v>
      </c>
      <c r="AQ10" s="24">
        <v>46844</v>
      </c>
      <c r="AR10" s="27" t="s">
        <v>15</v>
      </c>
      <c r="AS10" s="27" t="s">
        <v>16</v>
      </c>
      <c r="AT10" s="27" t="s">
        <v>17</v>
      </c>
      <c r="AU10" s="27" t="s">
        <v>18</v>
      </c>
      <c r="AV10" s="27" t="s">
        <v>19</v>
      </c>
      <c r="AW10" s="27" t="s">
        <v>20</v>
      </c>
      <c r="AX10" s="27">
        <v>47058</v>
      </c>
      <c r="AY10" s="28">
        <v>47088</v>
      </c>
      <c r="AZ10" s="23">
        <v>47119</v>
      </c>
      <c r="BA10" s="24">
        <v>47150</v>
      </c>
      <c r="BB10" s="24">
        <v>47178</v>
      </c>
      <c r="BC10" s="24">
        <v>47209</v>
      </c>
      <c r="BD10" s="27" t="s">
        <v>504</v>
      </c>
      <c r="BE10" s="27" t="s">
        <v>503</v>
      </c>
      <c r="BF10" s="27" t="s">
        <v>502</v>
      </c>
      <c r="BG10" s="27" t="s">
        <v>501</v>
      </c>
      <c r="BH10" s="27" t="s">
        <v>500</v>
      </c>
      <c r="BI10" s="27" t="s">
        <v>499</v>
      </c>
      <c r="BJ10" s="27">
        <v>47423</v>
      </c>
      <c r="BK10" s="28">
        <v>47453</v>
      </c>
    </row>
    <row r="11" spans="1:63">
      <c r="A11" s="1417" t="s">
        <v>21</v>
      </c>
      <c r="B11" s="29" t="s">
        <v>22</v>
      </c>
      <c r="C11" s="30">
        <f t="shared" ref="C11:C45" si="0">SUM(F11:BK11)</f>
        <v>1</v>
      </c>
      <c r="D11" s="31"/>
      <c r="E11" s="32"/>
      <c r="F11" s="32"/>
      <c r="G11" s="32"/>
      <c r="H11" s="33"/>
      <c r="I11" s="33"/>
      <c r="J11" s="34">
        <v>1</v>
      </c>
      <c r="K11" s="32"/>
      <c r="L11" s="32"/>
      <c r="M11" s="32"/>
      <c r="N11" s="32"/>
      <c r="O11" s="35"/>
      <c r="P11" s="31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5"/>
      <c r="AB11" s="31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5"/>
      <c r="AN11" s="31"/>
      <c r="AO11" s="32"/>
      <c r="AP11" s="32"/>
      <c r="AQ11" s="32"/>
      <c r="AR11" s="32"/>
      <c r="AS11" s="32"/>
      <c r="AT11" s="29"/>
      <c r="AU11" s="29"/>
      <c r="AV11" s="29"/>
      <c r="AW11" s="29"/>
      <c r="AX11" s="29"/>
      <c r="AY11" s="36"/>
      <c r="AZ11" s="31"/>
      <c r="BA11" s="32"/>
      <c r="BB11" s="32"/>
      <c r="BC11" s="32"/>
      <c r="BD11" s="32"/>
      <c r="BE11" s="32"/>
      <c r="BF11" s="29"/>
      <c r="BG11" s="29"/>
      <c r="BH11" s="29"/>
      <c r="BI11" s="29"/>
      <c r="BJ11" s="29"/>
      <c r="BK11" s="36"/>
    </row>
    <row r="12" spans="1:63">
      <c r="A12" s="1418"/>
      <c r="B12" s="37" t="s">
        <v>23</v>
      </c>
      <c r="C12" s="38">
        <f t="shared" si="0"/>
        <v>1</v>
      </c>
      <c r="D12" s="39"/>
      <c r="E12" s="40"/>
      <c r="F12" s="40"/>
      <c r="G12" s="40"/>
      <c r="H12" s="41"/>
      <c r="I12" s="40"/>
      <c r="J12" s="40"/>
      <c r="K12" s="42">
        <v>1</v>
      </c>
      <c r="L12" s="40"/>
      <c r="M12" s="40"/>
      <c r="N12" s="40"/>
      <c r="O12" s="43"/>
      <c r="P12" s="39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3"/>
      <c r="AB12" s="39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3"/>
      <c r="AN12" s="39"/>
      <c r="AO12" s="40"/>
      <c r="AP12" s="40"/>
      <c r="AQ12" s="40"/>
      <c r="AR12" s="40"/>
      <c r="AS12" s="40"/>
      <c r="AT12" s="37"/>
      <c r="AU12" s="37"/>
      <c r="AV12" s="37"/>
      <c r="AW12" s="37"/>
      <c r="AX12" s="37"/>
      <c r="AY12" s="44"/>
      <c r="AZ12" s="39"/>
      <c r="BA12" s="40"/>
      <c r="BB12" s="40"/>
      <c r="BC12" s="40"/>
      <c r="BD12" s="40"/>
      <c r="BE12" s="40"/>
      <c r="BF12" s="37"/>
      <c r="BG12" s="37"/>
      <c r="BH12" s="37"/>
      <c r="BI12" s="37"/>
      <c r="BJ12" s="37"/>
      <c r="BK12" s="44"/>
    </row>
    <row r="13" spans="1:63">
      <c r="A13" s="1418"/>
      <c r="B13" s="37" t="s">
        <v>24</v>
      </c>
      <c r="C13" s="38">
        <f t="shared" si="0"/>
        <v>3</v>
      </c>
      <c r="D13" s="39" t="s">
        <v>3</v>
      </c>
      <c r="E13" s="40"/>
      <c r="F13" s="40"/>
      <c r="G13" s="40"/>
      <c r="H13" s="41"/>
      <c r="I13" s="41"/>
      <c r="J13" s="41"/>
      <c r="K13" s="45"/>
      <c r="L13" s="46">
        <v>1</v>
      </c>
      <c r="M13" s="46">
        <v>1</v>
      </c>
      <c r="N13" s="47">
        <v>1</v>
      </c>
      <c r="O13" s="43"/>
      <c r="P13" s="39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3"/>
      <c r="AB13" s="39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3"/>
      <c r="AN13" s="39"/>
      <c r="AO13" s="40"/>
      <c r="AP13" s="40"/>
      <c r="AQ13" s="40"/>
      <c r="AR13" s="40"/>
      <c r="AS13" s="40"/>
      <c r="AT13" s="37"/>
      <c r="AU13" s="37"/>
      <c r="AV13" s="37"/>
      <c r="AW13" s="37"/>
      <c r="AX13" s="37"/>
      <c r="AY13" s="44"/>
      <c r="AZ13" s="39"/>
      <c r="BA13" s="40"/>
      <c r="BB13" s="40"/>
      <c r="BC13" s="40"/>
      <c r="BD13" s="40"/>
      <c r="BE13" s="40"/>
      <c r="BF13" s="37"/>
      <c r="BG13" s="37"/>
      <c r="BH13" s="37"/>
      <c r="BI13" s="37"/>
      <c r="BJ13" s="37"/>
      <c r="BK13" s="44"/>
    </row>
    <row r="14" spans="1:63">
      <c r="A14" s="1418"/>
      <c r="B14" s="1540" t="s">
        <v>560</v>
      </c>
      <c r="C14" s="38">
        <f t="shared" si="0"/>
        <v>3</v>
      </c>
      <c r="D14" s="1541"/>
      <c r="E14" s="1542"/>
      <c r="F14" s="1542"/>
      <c r="G14" s="1542"/>
      <c r="H14" s="1543"/>
      <c r="I14" s="1543"/>
      <c r="J14" s="1543"/>
      <c r="K14" s="1549"/>
      <c r="L14" s="1550"/>
      <c r="M14" s="1550"/>
      <c r="N14" s="1551"/>
      <c r="O14" s="1547">
        <v>1</v>
      </c>
      <c r="P14" s="1548">
        <v>1</v>
      </c>
      <c r="Q14" s="1544">
        <v>1</v>
      </c>
      <c r="R14" s="1542"/>
      <c r="S14" s="1542"/>
      <c r="T14" s="1542"/>
      <c r="U14" s="1542"/>
      <c r="V14" s="1542"/>
      <c r="W14" s="1542"/>
      <c r="X14" s="1542"/>
      <c r="Y14" s="1542"/>
      <c r="Z14" s="1542"/>
      <c r="AA14" s="1545"/>
      <c r="AB14" s="1541"/>
      <c r="AC14" s="1542"/>
      <c r="AD14" s="1542"/>
      <c r="AE14" s="1542"/>
      <c r="AF14" s="1542"/>
      <c r="AG14" s="1542"/>
      <c r="AH14" s="1542"/>
      <c r="AI14" s="1542"/>
      <c r="AJ14" s="1542"/>
      <c r="AK14" s="1542"/>
      <c r="AL14" s="1542"/>
      <c r="AM14" s="1545"/>
      <c r="AN14" s="1541"/>
      <c r="AO14" s="1542"/>
      <c r="AP14" s="1542"/>
      <c r="AQ14" s="1542"/>
      <c r="AR14" s="1542"/>
      <c r="AS14" s="1542"/>
      <c r="AT14" s="1540"/>
      <c r="AU14" s="1540"/>
      <c r="AV14" s="1540"/>
      <c r="AW14" s="1540"/>
      <c r="AX14" s="1540"/>
      <c r="AY14" s="1546"/>
      <c r="AZ14" s="1541"/>
      <c r="BA14" s="1542"/>
      <c r="BB14" s="1542"/>
      <c r="BC14" s="1542"/>
      <c r="BD14" s="1542"/>
      <c r="BE14" s="1542"/>
      <c r="BF14" s="1540"/>
      <c r="BG14" s="1540"/>
      <c r="BH14" s="1540"/>
      <c r="BI14" s="1540"/>
      <c r="BJ14" s="1540"/>
      <c r="BK14" s="1546"/>
    </row>
    <row r="15" spans="1:63" ht="17" thickBot="1">
      <c r="A15" s="1419"/>
      <c r="B15" s="48" t="s">
        <v>25</v>
      </c>
      <c r="C15" s="49">
        <f t="shared" si="0"/>
        <v>1</v>
      </c>
      <c r="D15" s="50" t="s">
        <v>3</v>
      </c>
      <c r="E15" s="51"/>
      <c r="F15" s="51"/>
      <c r="G15" s="51"/>
      <c r="H15" s="52"/>
      <c r="I15" s="52"/>
      <c r="J15" s="52"/>
      <c r="K15" s="53"/>
      <c r="L15" s="52"/>
      <c r="M15" s="52"/>
      <c r="N15" s="51"/>
      <c r="O15" s="1552"/>
      <c r="P15" s="50"/>
      <c r="Q15" s="51"/>
      <c r="R15" s="1553">
        <v>1</v>
      </c>
      <c r="S15" s="51"/>
      <c r="T15" s="51"/>
      <c r="U15" s="51"/>
      <c r="V15" s="51"/>
      <c r="W15" s="51"/>
      <c r="X15" s="51"/>
      <c r="Y15" s="51"/>
      <c r="Z15" s="51"/>
      <c r="AA15" s="54"/>
      <c r="AB15" s="50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4"/>
      <c r="AN15" s="50"/>
      <c r="AO15" s="51"/>
      <c r="AP15" s="51"/>
      <c r="AQ15" s="51"/>
      <c r="AR15" s="51"/>
      <c r="AS15" s="51"/>
      <c r="AT15" s="48"/>
      <c r="AU15" s="48"/>
      <c r="AV15" s="48"/>
      <c r="AW15" s="48"/>
      <c r="AX15" s="48"/>
      <c r="AY15" s="55"/>
      <c r="AZ15" s="50"/>
      <c r="BA15" s="51"/>
      <c r="BB15" s="51"/>
      <c r="BC15" s="51"/>
      <c r="BD15" s="51"/>
      <c r="BE15" s="51"/>
      <c r="BF15" s="48"/>
      <c r="BG15" s="48"/>
      <c r="BH15" s="48"/>
      <c r="BI15" s="48"/>
      <c r="BJ15" s="48"/>
      <c r="BK15" s="55"/>
    </row>
    <row r="16" spans="1:63">
      <c r="A16" s="1414" t="s">
        <v>26</v>
      </c>
      <c r="B16" s="29" t="s">
        <v>27</v>
      </c>
      <c r="C16" s="30">
        <f t="shared" si="0"/>
        <v>2</v>
      </c>
      <c r="D16" s="31"/>
      <c r="E16" s="32"/>
      <c r="F16" s="33"/>
      <c r="G16" s="33"/>
      <c r="H16" s="33"/>
      <c r="I16" s="33"/>
      <c r="J16" s="33"/>
      <c r="K16" s="33"/>
      <c r="L16" s="1554"/>
      <c r="M16" s="1554"/>
      <c r="N16" s="1554"/>
      <c r="O16" s="35"/>
      <c r="P16" s="31"/>
      <c r="Q16" s="1557">
        <v>1</v>
      </c>
      <c r="R16" s="1557">
        <v>1</v>
      </c>
      <c r="S16" s="32"/>
      <c r="T16" s="32"/>
      <c r="U16" s="32"/>
      <c r="V16" s="32"/>
      <c r="W16" s="32"/>
      <c r="X16" s="32"/>
      <c r="Y16" s="32"/>
      <c r="Z16" s="32"/>
      <c r="AA16" s="35"/>
      <c r="AB16" s="31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5"/>
      <c r="AN16" s="31"/>
      <c r="AO16" s="32"/>
      <c r="AP16" s="32"/>
      <c r="AQ16" s="32"/>
      <c r="AR16" s="32"/>
      <c r="AS16" s="32"/>
      <c r="AT16" s="32"/>
      <c r="AU16" s="32"/>
      <c r="AV16" s="29"/>
      <c r="AW16" s="29"/>
      <c r="AX16" s="29"/>
      <c r="AY16" s="36"/>
      <c r="AZ16" s="56"/>
      <c r="BA16" s="29"/>
      <c r="BB16" s="32"/>
      <c r="BC16" s="32"/>
      <c r="BD16" s="32"/>
      <c r="BE16" s="32"/>
      <c r="BF16" s="32"/>
      <c r="BG16" s="32"/>
      <c r="BH16" s="29"/>
      <c r="BI16" s="29"/>
      <c r="BJ16" s="29"/>
      <c r="BK16" s="36"/>
    </row>
    <row r="17" spans="1:81">
      <c r="A17" s="1415"/>
      <c r="B17" s="37" t="s">
        <v>28</v>
      </c>
      <c r="C17" s="38">
        <f t="shared" si="0"/>
        <v>1</v>
      </c>
      <c r="D17" s="39"/>
      <c r="E17" s="40"/>
      <c r="F17" s="45"/>
      <c r="G17" s="45"/>
      <c r="H17" s="40"/>
      <c r="I17" s="40"/>
      <c r="J17" s="41"/>
      <c r="K17" s="41"/>
      <c r="L17" s="41"/>
      <c r="M17" s="41"/>
      <c r="N17" s="45"/>
      <c r="O17" s="57"/>
      <c r="P17" s="1555"/>
      <c r="Q17" s="40"/>
      <c r="R17" s="40"/>
      <c r="S17" s="1556">
        <v>1</v>
      </c>
      <c r="T17" s="40"/>
      <c r="U17" s="40"/>
      <c r="V17" s="40"/>
      <c r="W17" s="40"/>
      <c r="X17" s="40"/>
      <c r="Y17" s="40"/>
      <c r="Z17" s="40"/>
      <c r="AA17" s="43"/>
      <c r="AB17" s="39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3"/>
      <c r="AN17" s="39"/>
      <c r="AO17" s="40"/>
      <c r="AP17" s="40"/>
      <c r="AQ17" s="40"/>
      <c r="AR17" s="40"/>
      <c r="AS17" s="40"/>
      <c r="AT17" s="40"/>
      <c r="AU17" s="40"/>
      <c r="AV17" s="37"/>
      <c r="AW17" s="37"/>
      <c r="AX17" s="37"/>
      <c r="AY17" s="44"/>
      <c r="AZ17" s="59"/>
      <c r="BA17" s="37"/>
      <c r="BB17" s="40"/>
      <c r="BC17" s="40"/>
      <c r="BD17" s="40"/>
      <c r="BE17" s="40"/>
      <c r="BF17" s="40"/>
      <c r="BG17" s="40"/>
      <c r="BH17" s="37"/>
      <c r="BI17" s="37"/>
      <c r="BJ17" s="37"/>
      <c r="BK17" s="44"/>
    </row>
    <row r="18" spans="1:81">
      <c r="A18" s="1415"/>
      <c r="B18" s="37" t="s">
        <v>29</v>
      </c>
      <c r="C18" s="38">
        <f t="shared" si="0"/>
        <v>2</v>
      </c>
      <c r="D18" s="39"/>
      <c r="E18" s="40"/>
      <c r="F18" s="45"/>
      <c r="G18" s="45"/>
      <c r="H18" s="40"/>
      <c r="I18" s="40"/>
      <c r="J18" s="41"/>
      <c r="K18" s="41"/>
      <c r="L18" s="41"/>
      <c r="M18" s="41"/>
      <c r="N18" s="40"/>
      <c r="O18" s="43"/>
      <c r="P18" s="39"/>
      <c r="Q18" s="1555"/>
      <c r="R18" s="1555"/>
      <c r="S18" s="1556">
        <v>1</v>
      </c>
      <c r="T18" s="1556">
        <v>1</v>
      </c>
      <c r="U18" s="40"/>
      <c r="V18" s="40"/>
      <c r="W18" s="40"/>
      <c r="X18" s="40"/>
      <c r="Y18" s="40"/>
      <c r="Z18" s="40"/>
      <c r="AA18" s="43"/>
      <c r="AB18" s="39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3"/>
      <c r="AN18" s="39"/>
      <c r="AO18" s="40"/>
      <c r="AP18" s="40"/>
      <c r="AQ18" s="40"/>
      <c r="AR18" s="40"/>
      <c r="AS18" s="40"/>
      <c r="AT18" s="40"/>
      <c r="AU18" s="40"/>
      <c r="AV18" s="37"/>
      <c r="AW18" s="37"/>
      <c r="AX18" s="37"/>
      <c r="AY18" s="44"/>
      <c r="AZ18" s="59"/>
      <c r="BA18" s="37"/>
      <c r="BB18" s="40"/>
      <c r="BC18" s="40"/>
      <c r="BD18" s="40"/>
      <c r="BE18" s="40"/>
      <c r="BF18" s="40"/>
      <c r="BG18" s="40"/>
      <c r="BH18" s="37"/>
      <c r="BI18" s="37"/>
      <c r="BJ18" s="37"/>
      <c r="BK18" s="44"/>
    </row>
    <row r="19" spans="1:81">
      <c r="A19" s="1415"/>
      <c r="B19" s="37" t="s">
        <v>30</v>
      </c>
      <c r="C19" s="38">
        <f t="shared" si="0"/>
        <v>1</v>
      </c>
      <c r="D19" s="39"/>
      <c r="E19" s="40"/>
      <c r="F19" s="45"/>
      <c r="G19" s="45"/>
      <c r="H19" s="40"/>
      <c r="I19" s="40"/>
      <c r="J19" s="41"/>
      <c r="K19" s="41"/>
      <c r="L19" s="41"/>
      <c r="M19" s="41"/>
      <c r="N19" s="41"/>
      <c r="O19" s="43"/>
      <c r="P19" s="39"/>
      <c r="Q19" s="40"/>
      <c r="R19" s="1555"/>
      <c r="S19" s="40"/>
      <c r="T19" s="1556">
        <v>1</v>
      </c>
      <c r="U19" s="40"/>
      <c r="V19" s="40"/>
      <c r="W19" s="40"/>
      <c r="X19" s="40"/>
      <c r="Y19" s="40"/>
      <c r="Z19" s="40"/>
      <c r="AA19" s="43"/>
      <c r="AB19" s="39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3"/>
      <c r="AN19" s="39"/>
      <c r="AO19" s="40"/>
      <c r="AP19" s="40"/>
      <c r="AQ19" s="40"/>
      <c r="AR19" s="40"/>
      <c r="AS19" s="40"/>
      <c r="AT19" s="40"/>
      <c r="AU19" s="40"/>
      <c r="AV19" s="37"/>
      <c r="AW19" s="37"/>
      <c r="AX19" s="37"/>
      <c r="AY19" s="44"/>
      <c r="AZ19" s="59"/>
      <c r="BA19" s="37"/>
      <c r="BB19" s="40"/>
      <c r="BC19" s="40"/>
      <c r="BD19" s="40"/>
      <c r="BE19" s="40"/>
      <c r="BF19" s="40"/>
      <c r="BG19" s="40"/>
      <c r="BH19" s="37"/>
      <c r="BI19" s="37"/>
      <c r="BJ19" s="37"/>
      <c r="BK19" s="44"/>
    </row>
    <row r="20" spans="1:81" ht="17" thickBot="1">
      <c r="A20" s="1416"/>
      <c r="B20" s="48" t="s">
        <v>31</v>
      </c>
      <c r="C20" s="49">
        <f t="shared" si="0"/>
        <v>1</v>
      </c>
      <c r="D20" s="50"/>
      <c r="E20" s="51"/>
      <c r="F20" s="53"/>
      <c r="G20" s="53"/>
      <c r="H20" s="51"/>
      <c r="I20" s="51"/>
      <c r="J20" s="52"/>
      <c r="K20" s="52"/>
      <c r="L20" s="52"/>
      <c r="M20" s="52"/>
      <c r="N20" s="52"/>
      <c r="O20" s="60"/>
      <c r="P20" s="50"/>
      <c r="Q20" s="41"/>
      <c r="R20" s="1555"/>
      <c r="S20" s="41"/>
      <c r="T20" s="58">
        <v>1</v>
      </c>
      <c r="U20" s="41"/>
      <c r="V20" s="41"/>
      <c r="W20" s="51"/>
      <c r="X20" s="51"/>
      <c r="Y20" s="51"/>
      <c r="Z20" s="51"/>
      <c r="AA20" s="54"/>
      <c r="AB20" s="50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4"/>
      <c r="AN20" s="50"/>
      <c r="AO20" s="51"/>
      <c r="AP20" s="51"/>
      <c r="AQ20" s="51"/>
      <c r="AR20" s="51"/>
      <c r="AS20" s="51"/>
      <c r="AT20" s="51"/>
      <c r="AU20" s="51"/>
      <c r="AV20" s="48"/>
      <c r="AW20" s="48"/>
      <c r="AX20" s="48"/>
      <c r="AY20" s="55"/>
      <c r="AZ20" s="61"/>
      <c r="BA20" s="48"/>
      <c r="BB20" s="51"/>
      <c r="BC20" s="51"/>
      <c r="BD20" s="51"/>
      <c r="BE20" s="51"/>
      <c r="BF20" s="51"/>
      <c r="BG20" s="51"/>
      <c r="BH20" s="48"/>
      <c r="BI20" s="48"/>
      <c r="BJ20" s="48"/>
      <c r="BK20" s="55"/>
    </row>
    <row r="21" spans="1:81" ht="17" thickBot="1">
      <c r="A21" s="62" t="s">
        <v>561</v>
      </c>
      <c r="B21" s="63" t="s">
        <v>32</v>
      </c>
      <c r="C21" s="64">
        <f t="shared" si="0"/>
        <v>1</v>
      </c>
      <c r="D21" s="65"/>
      <c r="E21" s="66"/>
      <c r="F21" s="67"/>
      <c r="G21" s="67"/>
      <c r="H21" s="66"/>
      <c r="I21" s="66"/>
      <c r="J21" s="68"/>
      <c r="K21" s="68"/>
      <c r="L21" s="68"/>
      <c r="M21" s="66"/>
      <c r="N21" s="66"/>
      <c r="O21" s="69"/>
      <c r="P21" s="70"/>
      <c r="Q21" s="67"/>
      <c r="R21" s="1558"/>
      <c r="S21" s="1558"/>
      <c r="T21" s="1558"/>
      <c r="U21" s="71">
        <v>1</v>
      </c>
      <c r="V21" s="66"/>
      <c r="W21" s="66"/>
      <c r="X21" s="66"/>
      <c r="Y21" s="66"/>
      <c r="Z21" s="66"/>
      <c r="AA21" s="69"/>
      <c r="AB21" s="65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9"/>
      <c r="AN21" s="65"/>
      <c r="AO21" s="66"/>
      <c r="AP21" s="66"/>
      <c r="AQ21" s="66"/>
      <c r="AR21" s="66"/>
      <c r="AS21" s="66"/>
      <c r="AT21" s="66"/>
      <c r="AU21" s="66"/>
      <c r="AV21" s="63"/>
      <c r="AW21" s="63"/>
      <c r="AX21" s="63"/>
      <c r="AY21" s="72"/>
      <c r="AZ21" s="73"/>
      <c r="BA21" s="63"/>
      <c r="BB21" s="66"/>
      <c r="BC21" s="66"/>
      <c r="BD21" s="66"/>
      <c r="BE21" s="66"/>
      <c r="BF21" s="66"/>
      <c r="BG21" s="66"/>
      <c r="BH21" s="63"/>
      <c r="BI21" s="63"/>
      <c r="BJ21" s="63"/>
      <c r="BK21" s="72"/>
    </row>
    <row r="22" spans="1:81" s="76" customFormat="1">
      <c r="A22" s="1420" t="s">
        <v>33</v>
      </c>
      <c r="B22" s="29" t="s">
        <v>34</v>
      </c>
      <c r="C22" s="30">
        <f t="shared" si="0"/>
        <v>2</v>
      </c>
      <c r="D22" s="31"/>
      <c r="E22" s="32"/>
      <c r="F22" s="29"/>
      <c r="G22" s="29"/>
      <c r="H22" s="32"/>
      <c r="I22" s="29"/>
      <c r="J22" s="29"/>
      <c r="K22" s="29"/>
      <c r="L22" s="33"/>
      <c r="M22" s="33"/>
      <c r="N22" s="33"/>
      <c r="O22" s="74"/>
      <c r="P22" s="31"/>
      <c r="Q22" s="1559"/>
      <c r="R22" s="34">
        <v>1</v>
      </c>
      <c r="S22" s="34">
        <v>1</v>
      </c>
      <c r="T22" s="32"/>
      <c r="U22" s="32"/>
      <c r="V22" s="32"/>
      <c r="W22" s="32"/>
      <c r="X22" s="32"/>
      <c r="Y22" s="32"/>
      <c r="Z22" s="32"/>
      <c r="AA22" s="75"/>
      <c r="AB22" s="31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5"/>
      <c r="AN22" s="31"/>
      <c r="AO22" s="32"/>
      <c r="AP22" s="32"/>
      <c r="AQ22" s="32"/>
      <c r="AR22" s="32"/>
      <c r="AS22" s="32"/>
      <c r="AT22" s="32"/>
      <c r="AU22" s="32"/>
      <c r="AV22" s="29"/>
      <c r="AW22" s="29"/>
      <c r="AX22" s="29"/>
      <c r="AY22" s="36"/>
      <c r="AZ22" s="56"/>
      <c r="BA22" s="29"/>
      <c r="BB22" s="32"/>
      <c r="BC22" s="32"/>
      <c r="BD22" s="32"/>
      <c r="BE22" s="32"/>
      <c r="BF22" s="32"/>
      <c r="BG22" s="32"/>
      <c r="BH22" s="29"/>
      <c r="BI22" s="29"/>
      <c r="BJ22" s="29"/>
      <c r="BK22" s="36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</row>
    <row r="23" spans="1:81" s="76" customFormat="1" ht="17.25" customHeight="1">
      <c r="A23" s="1421"/>
      <c r="B23" s="37" t="s">
        <v>35</v>
      </c>
      <c r="C23" s="38">
        <f t="shared" si="0"/>
        <v>6</v>
      </c>
      <c r="D23" s="39"/>
      <c r="E23" s="40"/>
      <c r="F23" s="37"/>
      <c r="G23" s="37"/>
      <c r="H23" s="40"/>
      <c r="I23" s="37"/>
      <c r="J23" s="37"/>
      <c r="K23" s="37"/>
      <c r="L23" s="41"/>
      <c r="M23" s="41"/>
      <c r="N23" s="41"/>
      <c r="O23" s="77"/>
      <c r="P23" s="39"/>
      <c r="Q23" s="40"/>
      <c r="R23" s="1560"/>
      <c r="S23" s="1560"/>
      <c r="T23" s="47">
        <v>1</v>
      </c>
      <c r="U23" s="47">
        <v>1</v>
      </c>
      <c r="V23" s="47">
        <v>1</v>
      </c>
      <c r="W23" s="47">
        <v>1</v>
      </c>
      <c r="X23" s="47">
        <v>1</v>
      </c>
      <c r="Y23" s="47">
        <v>1</v>
      </c>
      <c r="Z23" s="40"/>
      <c r="AA23" s="78"/>
      <c r="AB23" s="39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3"/>
      <c r="AN23" s="39"/>
      <c r="AO23" s="40"/>
      <c r="AP23" s="40"/>
      <c r="AQ23" s="40"/>
      <c r="AR23" s="40"/>
      <c r="AS23" s="40"/>
      <c r="AT23" s="40"/>
      <c r="AU23" s="40"/>
      <c r="AV23" s="37"/>
      <c r="AW23" s="37"/>
      <c r="AX23" s="37"/>
      <c r="AY23" s="44"/>
      <c r="AZ23" s="59"/>
      <c r="BA23" s="37"/>
      <c r="BB23" s="40"/>
      <c r="BC23" s="40"/>
      <c r="BD23" s="40"/>
      <c r="BE23" s="40"/>
      <c r="BF23" s="40"/>
      <c r="BG23" s="40"/>
      <c r="BH23" s="37"/>
      <c r="BI23" s="37"/>
      <c r="BJ23" s="37"/>
      <c r="BK23" s="4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</row>
    <row r="24" spans="1:81" s="76" customFormat="1" ht="17.25" customHeight="1">
      <c r="A24" s="1422"/>
      <c r="B24" s="37" t="s">
        <v>36</v>
      </c>
      <c r="C24" s="38">
        <f t="shared" si="0"/>
        <v>4</v>
      </c>
      <c r="D24" s="39"/>
      <c r="E24" s="40"/>
      <c r="F24" s="37"/>
      <c r="G24" s="37"/>
      <c r="H24" s="40"/>
      <c r="I24" s="37"/>
      <c r="J24" s="37"/>
      <c r="K24" s="37"/>
      <c r="L24" s="41"/>
      <c r="M24" s="41"/>
      <c r="N24" s="41"/>
      <c r="O24" s="77"/>
      <c r="P24" s="39"/>
      <c r="Q24" s="40"/>
      <c r="R24" s="40"/>
      <c r="S24" s="40"/>
      <c r="T24" s="40"/>
      <c r="U24" s="37"/>
      <c r="V24" s="37"/>
      <c r="W24" s="47">
        <v>1</v>
      </c>
      <c r="X24" s="47">
        <v>1</v>
      </c>
      <c r="Y24" s="47">
        <v>1</v>
      </c>
      <c r="Z24" s="47">
        <v>1</v>
      </c>
      <c r="AA24" s="78"/>
      <c r="AB24" s="39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3"/>
      <c r="AN24" s="39"/>
      <c r="AO24" s="40"/>
      <c r="AP24" s="40"/>
      <c r="AQ24" s="40"/>
      <c r="AR24" s="40"/>
      <c r="AS24" s="40"/>
      <c r="AT24" s="40"/>
      <c r="AU24" s="40"/>
      <c r="AV24" s="37"/>
      <c r="AW24" s="37"/>
      <c r="AX24" s="37"/>
      <c r="AY24" s="44"/>
      <c r="AZ24" s="59"/>
      <c r="BA24" s="37"/>
      <c r="BB24" s="40"/>
      <c r="BC24" s="40"/>
      <c r="BD24" s="40"/>
      <c r="BE24" s="40"/>
      <c r="BF24" s="40"/>
      <c r="BG24" s="40"/>
      <c r="BH24" s="37"/>
      <c r="BI24" s="37"/>
      <c r="BJ24" s="37"/>
      <c r="BK24" s="4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</row>
    <row r="25" spans="1:81" s="76" customFormat="1" ht="17.25" customHeight="1">
      <c r="A25" s="1422"/>
      <c r="B25" s="37" t="s">
        <v>37</v>
      </c>
      <c r="C25" s="38">
        <f t="shared" si="0"/>
        <v>3</v>
      </c>
      <c r="D25" s="39"/>
      <c r="E25" s="40"/>
      <c r="F25" s="37"/>
      <c r="G25" s="37"/>
      <c r="H25" s="40"/>
      <c r="I25" s="37"/>
      <c r="J25" s="37"/>
      <c r="K25" s="37"/>
      <c r="L25" s="37"/>
      <c r="M25" s="40"/>
      <c r="N25" s="40"/>
      <c r="O25" s="43"/>
      <c r="P25" s="79"/>
      <c r="Q25" s="41"/>
      <c r="R25" s="41"/>
      <c r="S25" s="41"/>
      <c r="T25" s="41"/>
      <c r="U25" s="41"/>
      <c r="V25" s="41"/>
      <c r="W25" s="41"/>
      <c r="X25" s="40"/>
      <c r="Y25" s="46">
        <v>1</v>
      </c>
      <c r="Z25" s="46">
        <v>1</v>
      </c>
      <c r="AA25" s="80">
        <v>1</v>
      </c>
      <c r="AB25" s="39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3"/>
      <c r="AN25" s="39"/>
      <c r="AO25" s="40"/>
      <c r="AP25" s="40"/>
      <c r="AQ25" s="40"/>
      <c r="AR25" s="40"/>
      <c r="AS25" s="40"/>
      <c r="AT25" s="40"/>
      <c r="AU25" s="37"/>
      <c r="AV25" s="37"/>
      <c r="AW25" s="37"/>
      <c r="AX25" s="37"/>
      <c r="AY25" s="44"/>
      <c r="AZ25" s="59"/>
      <c r="BA25" s="40"/>
      <c r="BB25" s="40"/>
      <c r="BC25" s="40"/>
      <c r="BD25" s="40"/>
      <c r="BE25" s="40"/>
      <c r="BF25" s="40"/>
      <c r="BG25" s="37"/>
      <c r="BH25" s="37"/>
      <c r="BI25" s="37"/>
      <c r="BJ25" s="37"/>
      <c r="BK25" s="4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</row>
    <row r="26" spans="1:81" s="76" customFormat="1" ht="17.25" customHeight="1">
      <c r="A26" s="1422"/>
      <c r="B26" s="37" t="s">
        <v>38</v>
      </c>
      <c r="C26" s="38">
        <f t="shared" si="0"/>
        <v>2</v>
      </c>
      <c r="D26" s="39"/>
      <c r="E26" s="40"/>
      <c r="F26" s="37"/>
      <c r="G26" s="37"/>
      <c r="H26" s="40"/>
      <c r="I26" s="37"/>
      <c r="J26" s="37"/>
      <c r="K26" s="37"/>
      <c r="L26" s="37"/>
      <c r="M26" s="40"/>
      <c r="N26" s="40"/>
      <c r="O26" s="43"/>
      <c r="P26" s="79"/>
      <c r="Q26" s="41"/>
      <c r="R26" s="41"/>
      <c r="S26" s="41"/>
      <c r="T26" s="41"/>
      <c r="U26" s="41"/>
      <c r="V26" s="41"/>
      <c r="W26" s="41"/>
      <c r="X26" s="41"/>
      <c r="Y26" s="41"/>
      <c r="Z26" s="46">
        <v>1</v>
      </c>
      <c r="AA26" s="46">
        <v>1</v>
      </c>
      <c r="AB26" s="39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3"/>
      <c r="AN26" s="39"/>
      <c r="AO26" s="40"/>
      <c r="AP26" s="40"/>
      <c r="AQ26" s="40"/>
      <c r="AR26" s="40"/>
      <c r="AS26" s="40"/>
      <c r="AT26" s="40"/>
      <c r="AU26" s="37"/>
      <c r="AV26" s="37"/>
      <c r="AW26" s="37"/>
      <c r="AX26" s="37"/>
      <c r="AY26" s="44"/>
      <c r="AZ26" s="59"/>
      <c r="BA26" s="40"/>
      <c r="BB26" s="40"/>
      <c r="BC26" s="40"/>
      <c r="BD26" s="40"/>
      <c r="BE26" s="40"/>
      <c r="BF26" s="40"/>
      <c r="BG26" s="37"/>
      <c r="BH26" s="37"/>
      <c r="BI26" s="37"/>
      <c r="BJ26" s="37"/>
      <c r="BK26" s="4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</row>
    <row r="27" spans="1:81" s="76" customFormat="1" ht="17.25" customHeight="1">
      <c r="A27" s="1422"/>
      <c r="B27" s="37" t="s">
        <v>39</v>
      </c>
      <c r="C27" s="38">
        <f t="shared" si="0"/>
        <v>2</v>
      </c>
      <c r="D27" s="39"/>
      <c r="E27" s="40"/>
      <c r="F27" s="37"/>
      <c r="G27" s="37"/>
      <c r="H27" s="40"/>
      <c r="I27" s="37"/>
      <c r="J27" s="37"/>
      <c r="K27" s="37"/>
      <c r="L27" s="37"/>
      <c r="M27" s="40"/>
      <c r="N27" s="40"/>
      <c r="O27" s="43"/>
      <c r="P27" s="79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80">
        <v>1</v>
      </c>
      <c r="AB27" s="81">
        <v>1</v>
      </c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3"/>
      <c r="AN27" s="39"/>
      <c r="AO27" s="40"/>
      <c r="AP27" s="40"/>
      <c r="AQ27" s="40"/>
      <c r="AR27" s="40"/>
      <c r="AS27" s="40"/>
      <c r="AT27" s="40"/>
      <c r="AU27" s="37"/>
      <c r="AV27" s="37"/>
      <c r="AW27" s="37"/>
      <c r="AX27" s="37"/>
      <c r="AY27" s="44"/>
      <c r="AZ27" s="59"/>
      <c r="BA27" s="40"/>
      <c r="BB27" s="40"/>
      <c r="BC27" s="40"/>
      <c r="BD27" s="40"/>
      <c r="BE27" s="40"/>
      <c r="BF27" s="40"/>
      <c r="BG27" s="37"/>
      <c r="BH27" s="37"/>
      <c r="BI27" s="37"/>
      <c r="BJ27" s="37"/>
      <c r="BK27" s="4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</row>
    <row r="28" spans="1:81" s="76" customFormat="1" ht="17.25" customHeight="1">
      <c r="A28" s="1422"/>
      <c r="B28" s="37" t="s">
        <v>40</v>
      </c>
      <c r="C28" s="38">
        <f t="shared" si="0"/>
        <v>2</v>
      </c>
      <c r="D28" s="39"/>
      <c r="E28" s="40"/>
      <c r="F28" s="37"/>
      <c r="G28" s="37"/>
      <c r="H28" s="40"/>
      <c r="I28" s="37"/>
      <c r="J28" s="37"/>
      <c r="K28" s="37"/>
      <c r="L28" s="37"/>
      <c r="M28" s="40"/>
      <c r="N28" s="40"/>
      <c r="O28" s="43"/>
      <c r="P28" s="79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82"/>
      <c r="AB28" s="39"/>
      <c r="AC28" s="46">
        <v>1</v>
      </c>
      <c r="AD28" s="46">
        <v>1</v>
      </c>
      <c r="AE28" s="40"/>
      <c r="AF28" s="40"/>
      <c r="AG28" s="40"/>
      <c r="AH28" s="40"/>
      <c r="AI28" s="40"/>
      <c r="AJ28" s="40"/>
      <c r="AK28" s="40"/>
      <c r="AL28" s="40"/>
      <c r="AM28" s="43"/>
      <c r="AN28" s="39"/>
      <c r="AO28" s="40"/>
      <c r="AP28" s="83"/>
      <c r="AQ28" s="40"/>
      <c r="AR28" s="40"/>
      <c r="AS28" s="40"/>
      <c r="AT28" s="40"/>
      <c r="AU28" s="37"/>
      <c r="AV28" s="37"/>
      <c r="AW28" s="37"/>
      <c r="AX28" s="37"/>
      <c r="AY28" s="44"/>
      <c r="AZ28" s="59"/>
      <c r="BA28" s="40"/>
      <c r="BB28" s="40"/>
      <c r="BC28" s="40"/>
      <c r="BD28" s="40"/>
      <c r="BE28" s="40"/>
      <c r="BF28" s="40"/>
      <c r="BG28" s="37"/>
      <c r="BH28" s="37"/>
      <c r="BI28" s="37"/>
      <c r="BJ28" s="37"/>
      <c r="BK28" s="4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</row>
    <row r="29" spans="1:81" s="76" customFormat="1" ht="17.25" customHeight="1" thickBot="1">
      <c r="A29" s="1423"/>
      <c r="B29" s="48" t="s">
        <v>41</v>
      </c>
      <c r="C29" s="49">
        <f t="shared" si="0"/>
        <v>2</v>
      </c>
      <c r="D29" s="50"/>
      <c r="E29" s="51"/>
      <c r="F29" s="48"/>
      <c r="G29" s="48"/>
      <c r="H29" s="51"/>
      <c r="I29" s="48"/>
      <c r="J29" s="48"/>
      <c r="K29" s="48"/>
      <c r="L29" s="48"/>
      <c r="M29" s="51"/>
      <c r="N29" s="51"/>
      <c r="O29" s="54"/>
      <c r="P29" s="84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85"/>
      <c r="AB29" s="84"/>
      <c r="AC29" s="52"/>
      <c r="AD29" s="86">
        <v>1</v>
      </c>
      <c r="AE29" s="87">
        <v>1</v>
      </c>
      <c r="AF29" s="51"/>
      <c r="AG29" s="51"/>
      <c r="AH29" s="51"/>
      <c r="AI29" s="51"/>
      <c r="AJ29" s="51"/>
      <c r="AK29" s="51"/>
      <c r="AL29" s="51"/>
      <c r="AM29" s="54"/>
      <c r="AN29" s="50"/>
      <c r="AO29" s="51"/>
      <c r="AP29" s="51"/>
      <c r="AQ29" s="51"/>
      <c r="AR29" s="51"/>
      <c r="AS29" s="51"/>
      <c r="AT29" s="51"/>
      <c r="AU29" s="48"/>
      <c r="AV29" s="48"/>
      <c r="AW29" s="48"/>
      <c r="AX29" s="48"/>
      <c r="AY29" s="55"/>
      <c r="AZ29" s="61"/>
      <c r="BA29" s="51"/>
      <c r="BB29" s="51"/>
      <c r="BC29" s="51"/>
      <c r="BD29" s="51"/>
      <c r="BE29" s="51"/>
      <c r="BF29" s="51"/>
      <c r="BG29" s="48"/>
      <c r="BH29" s="48"/>
      <c r="BI29" s="48"/>
      <c r="BJ29" s="48"/>
      <c r="BK29" s="55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</row>
    <row r="30" spans="1:81" ht="17" thickBot="1">
      <c r="A30" s="62" t="s">
        <v>562</v>
      </c>
      <c r="B30" s="63" t="s">
        <v>42</v>
      </c>
      <c r="C30" s="64">
        <f t="shared" si="0"/>
        <v>2</v>
      </c>
      <c r="D30" s="65"/>
      <c r="E30" s="66"/>
      <c r="F30" s="67"/>
      <c r="G30" s="67"/>
      <c r="H30" s="66"/>
      <c r="I30" s="66"/>
      <c r="J30" s="68"/>
      <c r="K30" s="68"/>
      <c r="L30" s="68"/>
      <c r="M30" s="66"/>
      <c r="N30" s="66"/>
      <c r="O30" s="69"/>
      <c r="P30" s="70"/>
      <c r="Q30" s="67"/>
      <c r="R30" s="66"/>
      <c r="S30" s="66"/>
      <c r="T30" s="66"/>
      <c r="U30" s="66"/>
      <c r="V30" s="66"/>
      <c r="W30" s="66"/>
      <c r="X30" s="66"/>
      <c r="Y30" s="66"/>
      <c r="Z30" s="66"/>
      <c r="AA30" s="69"/>
      <c r="AB30" s="65"/>
      <c r="AC30" s="66"/>
      <c r="AD30" s="66"/>
      <c r="AE30" s="71">
        <v>1</v>
      </c>
      <c r="AF30" s="71">
        <v>1</v>
      </c>
      <c r="AG30" s="66"/>
      <c r="AH30" s="66"/>
      <c r="AI30" s="66"/>
      <c r="AJ30" s="66"/>
      <c r="AK30" s="66"/>
      <c r="AL30" s="66"/>
      <c r="AM30" s="69"/>
      <c r="AN30" s="65"/>
      <c r="AO30" s="66"/>
      <c r="AP30" s="66"/>
      <c r="AQ30" s="66"/>
      <c r="AR30" s="66"/>
      <c r="AS30" s="66"/>
      <c r="AT30" s="66"/>
      <c r="AU30" s="66"/>
      <c r="AV30" s="63"/>
      <c r="AW30" s="63"/>
      <c r="AX30" s="63"/>
      <c r="AY30" s="72"/>
      <c r="AZ30" s="73"/>
      <c r="BA30" s="63"/>
      <c r="BB30" s="66"/>
      <c r="BC30" s="66"/>
      <c r="BD30" s="66"/>
      <c r="BE30" s="66"/>
      <c r="BF30" s="66"/>
      <c r="BG30" s="66"/>
      <c r="BH30" s="63"/>
      <c r="BI30" s="63"/>
      <c r="BJ30" s="63"/>
      <c r="BK30" s="72"/>
    </row>
    <row r="31" spans="1:81" s="76" customFormat="1" ht="15.5" customHeight="1">
      <c r="A31" s="1420" t="s">
        <v>43</v>
      </c>
      <c r="B31" s="29" t="s">
        <v>44</v>
      </c>
      <c r="C31" s="30">
        <f t="shared" si="0"/>
        <v>3</v>
      </c>
      <c r="D31" s="31"/>
      <c r="E31" s="32"/>
      <c r="F31" s="29"/>
      <c r="G31" s="29"/>
      <c r="H31" s="32"/>
      <c r="I31" s="32"/>
      <c r="J31" s="33"/>
      <c r="K31" s="33"/>
      <c r="L31" s="33"/>
      <c r="M31" s="88"/>
      <c r="N31" s="32"/>
      <c r="O31" s="35"/>
      <c r="P31" s="31"/>
      <c r="Q31" s="32"/>
      <c r="R31" s="32"/>
      <c r="S31" s="32"/>
      <c r="T31" s="32"/>
      <c r="U31" s="32"/>
      <c r="V31" s="32"/>
      <c r="W31" s="32"/>
      <c r="X31" s="89">
        <v>1</v>
      </c>
      <c r="Y31" s="89">
        <v>1</v>
      </c>
      <c r="Z31" s="89">
        <v>1</v>
      </c>
      <c r="AA31" s="35"/>
      <c r="AB31" s="31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5"/>
      <c r="AN31" s="31"/>
      <c r="AO31" s="32"/>
      <c r="AP31" s="32"/>
      <c r="AQ31" s="32"/>
      <c r="AR31" s="32"/>
      <c r="AS31" s="32"/>
      <c r="AT31" s="29"/>
      <c r="AU31" s="29"/>
      <c r="AV31" s="29"/>
      <c r="AW31" s="29"/>
      <c r="AX31" s="29"/>
      <c r="AY31" s="36"/>
      <c r="AZ31" s="31"/>
      <c r="BA31" s="32"/>
      <c r="BB31" s="32"/>
      <c r="BC31" s="32"/>
      <c r="BD31" s="32"/>
      <c r="BE31" s="32"/>
      <c r="BF31" s="29"/>
      <c r="BG31" s="29"/>
      <c r="BH31" s="29"/>
      <c r="BI31" s="29"/>
      <c r="BJ31" s="29"/>
      <c r="BK31" s="36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</row>
    <row r="32" spans="1:81" s="76" customFormat="1">
      <c r="A32" s="1422"/>
      <c r="B32" s="37" t="s">
        <v>45</v>
      </c>
      <c r="C32" s="38">
        <f t="shared" si="0"/>
        <v>3</v>
      </c>
      <c r="D32" s="39"/>
      <c r="E32" s="40"/>
      <c r="F32" s="37"/>
      <c r="G32" s="37"/>
      <c r="H32" s="40"/>
      <c r="I32" s="40"/>
      <c r="J32" s="41"/>
      <c r="K32" s="41"/>
      <c r="L32" s="41"/>
      <c r="M32" s="45"/>
      <c r="N32" s="40"/>
      <c r="O32" s="43"/>
      <c r="P32" s="39"/>
      <c r="Q32" s="40"/>
      <c r="R32" s="40"/>
      <c r="S32" s="40"/>
      <c r="T32" s="40"/>
      <c r="U32" s="40"/>
      <c r="V32" s="40"/>
      <c r="W32" s="40"/>
      <c r="X32" s="40"/>
      <c r="Y32" s="40"/>
      <c r="Z32" s="90">
        <v>1</v>
      </c>
      <c r="AA32" s="91">
        <v>1</v>
      </c>
      <c r="AB32" s="92">
        <v>1</v>
      </c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3"/>
      <c r="AN32" s="39"/>
      <c r="AO32" s="40"/>
      <c r="AP32" s="40"/>
      <c r="AQ32" s="40"/>
      <c r="AR32" s="40"/>
      <c r="AS32" s="40"/>
      <c r="AT32" s="37"/>
      <c r="AU32" s="37"/>
      <c r="AV32" s="37"/>
      <c r="AW32" s="37"/>
      <c r="AX32" s="37"/>
      <c r="AY32" s="44"/>
      <c r="AZ32" s="39"/>
      <c r="BA32" s="40"/>
      <c r="BB32" s="40"/>
      <c r="BC32" s="40"/>
      <c r="BD32" s="40"/>
      <c r="BE32" s="40"/>
      <c r="BF32" s="37"/>
      <c r="BG32" s="37"/>
      <c r="BH32" s="37"/>
      <c r="BI32" s="37"/>
      <c r="BJ32" s="37"/>
      <c r="BK32" s="4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</row>
    <row r="33" spans="1:81" s="76" customFormat="1" ht="17" thickBot="1">
      <c r="A33" s="1423"/>
      <c r="B33" s="48" t="s">
        <v>46</v>
      </c>
      <c r="C33" s="49">
        <f t="shared" si="0"/>
        <v>6</v>
      </c>
      <c r="D33" s="50"/>
      <c r="E33" s="51"/>
      <c r="F33" s="48"/>
      <c r="G33" s="48"/>
      <c r="H33" s="51"/>
      <c r="I33" s="51"/>
      <c r="J33" s="52"/>
      <c r="K33" s="52"/>
      <c r="L33" s="52"/>
      <c r="M33" s="53"/>
      <c r="N33" s="51"/>
      <c r="O33" s="54"/>
      <c r="P33" s="50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4"/>
      <c r="AB33" s="50"/>
      <c r="AC33" s="93">
        <v>1</v>
      </c>
      <c r="AD33" s="93">
        <v>1</v>
      </c>
      <c r="AE33" s="93">
        <v>1</v>
      </c>
      <c r="AF33" s="93">
        <v>1</v>
      </c>
      <c r="AG33" s="93">
        <v>1</v>
      </c>
      <c r="AH33" s="93">
        <v>1</v>
      </c>
      <c r="AI33" s="48"/>
      <c r="AJ33" s="48"/>
      <c r="AK33" s="51"/>
      <c r="AL33" s="51"/>
      <c r="AM33" s="54"/>
      <c r="AN33" s="50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4"/>
      <c r="AZ33" s="50"/>
      <c r="BA33" s="51"/>
      <c r="BB33" s="51"/>
      <c r="BC33" s="51"/>
      <c r="BD33" s="51"/>
      <c r="BE33" s="51"/>
      <c r="BF33" s="48"/>
      <c r="BG33" s="48"/>
      <c r="BH33" s="48"/>
      <c r="BI33" s="48"/>
      <c r="BJ33" s="48"/>
      <c r="BK33" s="55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</row>
    <row r="34" spans="1:81" s="76" customFormat="1">
      <c r="A34" s="1414" t="s">
        <v>47</v>
      </c>
      <c r="B34" s="29" t="s">
        <v>48</v>
      </c>
      <c r="C34" s="30">
        <f t="shared" si="0"/>
        <v>3</v>
      </c>
      <c r="D34" s="56"/>
      <c r="E34" s="29"/>
      <c r="F34" s="29"/>
      <c r="G34" s="29"/>
      <c r="H34" s="29"/>
      <c r="I34" s="32"/>
      <c r="J34" s="29"/>
      <c r="K34" s="29"/>
      <c r="L34" s="29"/>
      <c r="M34" s="32"/>
      <c r="N34" s="32"/>
      <c r="O34" s="35"/>
      <c r="P34" s="31"/>
      <c r="Q34" s="29"/>
      <c r="R34" s="29"/>
      <c r="S34" s="29"/>
      <c r="T34" s="29"/>
      <c r="U34" s="29"/>
      <c r="V34" s="29"/>
      <c r="W34" s="29"/>
      <c r="X34" s="29"/>
      <c r="Y34" s="29"/>
      <c r="Z34" s="33"/>
      <c r="AA34" s="74"/>
      <c r="AB34" s="94"/>
      <c r="AC34" s="33"/>
      <c r="AD34" s="33"/>
      <c r="AE34" s="29"/>
      <c r="AF34" s="95">
        <v>1</v>
      </c>
      <c r="AG34" s="95">
        <v>1</v>
      </c>
      <c r="AH34" s="95">
        <v>1</v>
      </c>
      <c r="AI34" s="29"/>
      <c r="AJ34" s="29"/>
      <c r="AK34" s="29"/>
      <c r="AL34" s="29"/>
      <c r="AM34" s="35"/>
      <c r="AN34" s="31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5"/>
      <c r="AZ34" s="31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5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</row>
    <row r="35" spans="1:81" s="76" customFormat="1">
      <c r="A35" s="1415"/>
      <c r="B35" s="37" t="s">
        <v>49</v>
      </c>
      <c r="C35" s="38">
        <f t="shared" si="0"/>
        <v>3</v>
      </c>
      <c r="D35" s="59"/>
      <c r="E35" s="37"/>
      <c r="F35" s="37"/>
      <c r="G35" s="37"/>
      <c r="H35" s="37"/>
      <c r="I35" s="40"/>
      <c r="J35" s="37"/>
      <c r="K35" s="37"/>
      <c r="L35" s="37"/>
      <c r="M35" s="40"/>
      <c r="N35" s="40"/>
      <c r="O35" s="43"/>
      <c r="P35" s="39"/>
      <c r="Q35" s="37"/>
      <c r="R35" s="37"/>
      <c r="S35" s="37"/>
      <c r="T35" s="37"/>
      <c r="U35" s="37"/>
      <c r="V35" s="37"/>
      <c r="W35" s="37"/>
      <c r="X35" s="37"/>
      <c r="Y35" s="37"/>
      <c r="Z35" s="41"/>
      <c r="AA35" s="77"/>
      <c r="AB35" s="59"/>
      <c r="AC35" s="41"/>
      <c r="AD35" s="41"/>
      <c r="AE35" s="41"/>
      <c r="AF35" s="37"/>
      <c r="AG35" s="96">
        <v>1</v>
      </c>
      <c r="AH35" s="96">
        <v>1</v>
      </c>
      <c r="AI35" s="96">
        <v>1</v>
      </c>
      <c r="AJ35" s="37"/>
      <c r="AK35" s="37"/>
      <c r="AL35" s="37"/>
      <c r="AM35" s="44"/>
      <c r="AN35" s="59"/>
      <c r="AO35" s="37"/>
      <c r="AP35" s="37"/>
      <c r="AQ35" s="37"/>
      <c r="AR35" s="37"/>
      <c r="AS35" s="37"/>
      <c r="AT35" s="40"/>
      <c r="AU35" s="40"/>
      <c r="AV35" s="37"/>
      <c r="AW35" s="37"/>
      <c r="AX35" s="37"/>
      <c r="AY35" s="44"/>
      <c r="AZ35" s="59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4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</row>
    <row r="36" spans="1:81" s="76" customFormat="1" ht="17" thickBot="1">
      <c r="A36" s="1416"/>
      <c r="B36" s="48" t="s">
        <v>50</v>
      </c>
      <c r="C36" s="49">
        <f t="shared" si="0"/>
        <v>2</v>
      </c>
      <c r="D36" s="61"/>
      <c r="E36" s="48"/>
      <c r="F36" s="48"/>
      <c r="G36" s="48"/>
      <c r="H36" s="51"/>
      <c r="I36" s="48"/>
      <c r="J36" s="48"/>
      <c r="K36" s="48"/>
      <c r="L36" s="48"/>
      <c r="M36" s="51"/>
      <c r="N36" s="51"/>
      <c r="O36" s="54"/>
      <c r="P36" s="50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55"/>
      <c r="AB36" s="84"/>
      <c r="AC36" s="52"/>
      <c r="AD36" s="52"/>
      <c r="AE36" s="52"/>
      <c r="AF36" s="52"/>
      <c r="AG36" s="52"/>
      <c r="AH36" s="97">
        <v>1</v>
      </c>
      <c r="AI36" s="97">
        <v>1</v>
      </c>
      <c r="AJ36" s="48"/>
      <c r="AK36" s="48"/>
      <c r="AL36" s="48"/>
      <c r="AM36" s="55"/>
      <c r="AN36" s="61"/>
      <c r="AO36" s="51"/>
      <c r="AP36" s="51"/>
      <c r="AQ36" s="48"/>
      <c r="AR36" s="48"/>
      <c r="AS36" s="48"/>
      <c r="AT36" s="51"/>
      <c r="AU36" s="51"/>
      <c r="AV36" s="48"/>
      <c r="AW36" s="48"/>
      <c r="AX36" s="48"/>
      <c r="AY36" s="55"/>
      <c r="AZ36" s="61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55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</row>
    <row r="37" spans="1:81" s="76" customFormat="1">
      <c r="A37" s="1420" t="s">
        <v>51</v>
      </c>
      <c r="B37" s="29" t="s">
        <v>52</v>
      </c>
      <c r="C37" s="30">
        <f t="shared" si="0"/>
        <v>2</v>
      </c>
      <c r="D37" s="31"/>
      <c r="E37" s="32"/>
      <c r="F37" s="29"/>
      <c r="G37" s="29"/>
      <c r="H37" s="32"/>
      <c r="I37" s="32"/>
      <c r="J37" s="33"/>
      <c r="K37" s="33"/>
      <c r="L37" s="33"/>
      <c r="M37" s="88"/>
      <c r="N37" s="32"/>
      <c r="O37" s="35"/>
      <c r="P37" s="31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5"/>
      <c r="AB37" s="31"/>
      <c r="AC37" s="32"/>
      <c r="AD37" s="32"/>
      <c r="AE37" s="32"/>
      <c r="AF37" s="32"/>
      <c r="AG37" s="32"/>
      <c r="AH37" s="32"/>
      <c r="AI37" s="98">
        <v>1</v>
      </c>
      <c r="AJ37" s="98">
        <v>1</v>
      </c>
      <c r="AK37" s="32"/>
      <c r="AL37" s="32"/>
      <c r="AM37" s="35"/>
      <c r="AN37" s="31"/>
      <c r="AO37" s="32"/>
      <c r="AP37" s="32"/>
      <c r="AQ37" s="32"/>
      <c r="AR37" s="32"/>
      <c r="AS37" s="32"/>
      <c r="AT37" s="29"/>
      <c r="AU37" s="29"/>
      <c r="AV37" s="29"/>
      <c r="AW37" s="29"/>
      <c r="AX37" s="29"/>
      <c r="AY37" s="36"/>
      <c r="AZ37" s="31"/>
      <c r="BA37" s="32"/>
      <c r="BB37" s="32"/>
      <c r="BC37" s="32"/>
      <c r="BD37" s="32"/>
      <c r="BE37" s="32"/>
      <c r="BF37" s="29"/>
      <c r="BG37" s="29"/>
      <c r="BH37" s="29"/>
      <c r="BI37" s="29"/>
      <c r="BJ37" s="29"/>
      <c r="BK37" s="36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</row>
    <row r="38" spans="1:81" s="76" customFormat="1">
      <c r="A38" s="1422"/>
      <c r="B38" s="37" t="s">
        <v>53</v>
      </c>
      <c r="C38" s="38">
        <f t="shared" si="0"/>
        <v>3</v>
      </c>
      <c r="D38" s="39"/>
      <c r="E38" s="40"/>
      <c r="F38" s="37"/>
      <c r="G38" s="37"/>
      <c r="H38" s="40"/>
      <c r="I38" s="40"/>
      <c r="J38" s="41"/>
      <c r="K38" s="41"/>
      <c r="L38" s="41"/>
      <c r="M38" s="45"/>
      <c r="N38" s="40"/>
      <c r="O38" s="43"/>
      <c r="P38" s="39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3"/>
      <c r="AB38" s="39"/>
      <c r="AC38" s="40"/>
      <c r="AD38" s="40"/>
      <c r="AE38" s="40"/>
      <c r="AF38" s="40"/>
      <c r="AG38" s="40"/>
      <c r="AH38" s="40"/>
      <c r="AI38" s="99">
        <v>1</v>
      </c>
      <c r="AJ38" s="99">
        <v>1</v>
      </c>
      <c r="AK38" s="99">
        <v>1</v>
      </c>
      <c r="AL38" s="40"/>
      <c r="AM38" s="43"/>
      <c r="AN38" s="39"/>
      <c r="AO38" s="40"/>
      <c r="AP38" s="40"/>
      <c r="AQ38" s="40"/>
      <c r="AR38" s="40"/>
      <c r="AS38" s="40"/>
      <c r="AT38" s="37"/>
      <c r="AU38" s="37"/>
      <c r="AV38" s="37"/>
      <c r="AW38" s="37"/>
      <c r="AX38" s="37"/>
      <c r="AY38" s="44"/>
      <c r="AZ38" s="39"/>
      <c r="BA38" s="40"/>
      <c r="BB38" s="40"/>
      <c r="BC38" s="40"/>
      <c r="BD38" s="40"/>
      <c r="BE38" s="40"/>
      <c r="BF38" s="37"/>
      <c r="BG38" s="37"/>
      <c r="BH38" s="37"/>
      <c r="BI38" s="37"/>
      <c r="BJ38" s="37"/>
      <c r="BK38" s="4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</row>
    <row r="39" spans="1:81" s="76" customFormat="1" ht="17" thickBot="1">
      <c r="A39" s="1423"/>
      <c r="B39" s="48" t="s">
        <v>54</v>
      </c>
      <c r="C39" s="49">
        <f t="shared" si="0"/>
        <v>27</v>
      </c>
      <c r="D39" s="50"/>
      <c r="E39" s="51"/>
      <c r="F39" s="48"/>
      <c r="G39" s="48"/>
      <c r="H39" s="51"/>
      <c r="I39" s="51"/>
      <c r="J39" s="52"/>
      <c r="K39" s="52"/>
      <c r="L39" s="52"/>
      <c r="M39" s="53"/>
      <c r="N39" s="51"/>
      <c r="O39" s="54"/>
      <c r="P39" s="50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4"/>
      <c r="AB39" s="50"/>
      <c r="AC39" s="51"/>
      <c r="AD39" s="51"/>
      <c r="AE39" s="51"/>
      <c r="AF39" s="51"/>
      <c r="AG39" s="51"/>
      <c r="AH39" s="51"/>
      <c r="AI39" s="51"/>
      <c r="AJ39" s="51"/>
      <c r="AK39" s="100">
        <v>1</v>
      </c>
      <c r="AL39" s="100">
        <v>1</v>
      </c>
      <c r="AM39" s="101">
        <v>1</v>
      </c>
      <c r="AN39" s="102">
        <v>1</v>
      </c>
      <c r="AO39" s="100">
        <v>1</v>
      </c>
      <c r="AP39" s="100">
        <v>1</v>
      </c>
      <c r="AQ39" s="100">
        <v>1</v>
      </c>
      <c r="AR39" s="100">
        <v>1</v>
      </c>
      <c r="AS39" s="100">
        <v>1</v>
      </c>
      <c r="AT39" s="100">
        <v>1</v>
      </c>
      <c r="AU39" s="100">
        <v>1</v>
      </c>
      <c r="AV39" s="100">
        <v>1</v>
      </c>
      <c r="AW39" s="100">
        <v>1</v>
      </c>
      <c r="AX39" s="100">
        <v>1</v>
      </c>
      <c r="AY39" s="101">
        <v>1</v>
      </c>
      <c r="AZ39" s="102">
        <v>1</v>
      </c>
      <c r="BA39" s="100">
        <v>1</v>
      </c>
      <c r="BB39" s="100">
        <v>1</v>
      </c>
      <c r="BC39" s="100">
        <v>1</v>
      </c>
      <c r="BD39" s="100">
        <v>1</v>
      </c>
      <c r="BE39" s="100">
        <v>1</v>
      </c>
      <c r="BF39" s="100">
        <v>1</v>
      </c>
      <c r="BG39" s="100">
        <v>1</v>
      </c>
      <c r="BH39" s="100">
        <v>1</v>
      </c>
      <c r="BI39" s="100">
        <v>1</v>
      </c>
      <c r="BJ39" s="100">
        <v>1</v>
      </c>
      <c r="BK39" s="101">
        <v>1</v>
      </c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</row>
    <row r="40" spans="1:81" s="76" customFormat="1">
      <c r="A40" s="1414" t="s">
        <v>55</v>
      </c>
      <c r="B40" s="29" t="s">
        <v>56</v>
      </c>
      <c r="C40" s="30">
        <f t="shared" si="0"/>
        <v>3</v>
      </c>
      <c r="D40" s="31"/>
      <c r="E40" s="32"/>
      <c r="F40" s="29"/>
      <c r="G40" s="29"/>
      <c r="H40" s="32"/>
      <c r="I40" s="32"/>
      <c r="J40" s="32"/>
      <c r="K40" s="32"/>
      <c r="L40" s="29"/>
      <c r="M40" s="29"/>
      <c r="N40" s="29"/>
      <c r="O40" s="36"/>
      <c r="P40" s="56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36"/>
      <c r="AB40" s="31"/>
      <c r="AC40" s="32"/>
      <c r="AD40" s="29"/>
      <c r="AE40" s="29"/>
      <c r="AF40" s="29"/>
      <c r="AG40" s="103">
        <v>1</v>
      </c>
      <c r="AH40" s="103">
        <v>1</v>
      </c>
      <c r="AI40" s="103">
        <v>1</v>
      </c>
      <c r="AJ40" s="32"/>
      <c r="AK40" s="32"/>
      <c r="AL40" s="32"/>
      <c r="AM40" s="35"/>
      <c r="AN40" s="56"/>
      <c r="AO40" s="29"/>
      <c r="AP40" s="29"/>
      <c r="AQ40" s="29"/>
      <c r="AR40" s="32"/>
      <c r="AS40" s="32"/>
      <c r="AT40" s="32"/>
      <c r="AU40" s="32"/>
      <c r="AV40" s="32"/>
      <c r="AW40" s="32"/>
      <c r="AX40" s="32"/>
      <c r="AY40" s="36"/>
      <c r="AZ40" s="56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36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</row>
    <row r="41" spans="1:81" s="76" customFormat="1">
      <c r="A41" s="1415"/>
      <c r="B41" s="37" t="s">
        <v>57</v>
      </c>
      <c r="C41" s="38">
        <f t="shared" si="0"/>
        <v>4</v>
      </c>
      <c r="D41" s="39"/>
      <c r="E41" s="40"/>
      <c r="F41" s="37"/>
      <c r="G41" s="37"/>
      <c r="H41" s="37"/>
      <c r="I41" s="37"/>
      <c r="J41" s="37"/>
      <c r="K41" s="37"/>
      <c r="L41" s="37"/>
      <c r="M41" s="37"/>
      <c r="N41" s="37"/>
      <c r="O41" s="44"/>
      <c r="P41" s="59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44"/>
      <c r="AB41" s="59"/>
      <c r="AC41" s="37"/>
      <c r="AD41" s="37"/>
      <c r="AE41" s="37"/>
      <c r="AF41" s="37"/>
      <c r="AG41" s="40"/>
      <c r="AH41" s="104">
        <v>1</v>
      </c>
      <c r="AI41" s="104">
        <v>1</v>
      </c>
      <c r="AJ41" s="104">
        <v>1</v>
      </c>
      <c r="AK41" s="104">
        <v>1</v>
      </c>
      <c r="AL41" s="40"/>
      <c r="AM41" s="43"/>
      <c r="AN41" s="59"/>
      <c r="AO41" s="37"/>
      <c r="AP41" s="37"/>
      <c r="AQ41" s="37"/>
      <c r="AR41" s="40"/>
      <c r="AS41" s="40"/>
      <c r="AT41" s="40"/>
      <c r="AU41" s="40"/>
      <c r="AV41" s="40"/>
      <c r="AW41" s="40"/>
      <c r="AX41" s="40"/>
      <c r="AY41" s="44"/>
      <c r="AZ41" s="59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4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</row>
    <row r="42" spans="1:81" s="76" customFormat="1">
      <c r="A42" s="1415"/>
      <c r="B42" s="37" t="s">
        <v>58</v>
      </c>
      <c r="C42" s="38">
        <f t="shared" si="0"/>
        <v>20</v>
      </c>
      <c r="D42" s="39"/>
      <c r="E42" s="40"/>
      <c r="F42" s="37"/>
      <c r="G42" s="37"/>
      <c r="H42" s="40"/>
      <c r="I42" s="40"/>
      <c r="J42" s="40"/>
      <c r="K42" s="40"/>
      <c r="L42" s="37"/>
      <c r="M42" s="37"/>
      <c r="N42" s="37"/>
      <c r="O42" s="44"/>
      <c r="P42" s="59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44"/>
      <c r="AB42" s="59"/>
      <c r="AC42" s="37"/>
      <c r="AD42" s="37"/>
      <c r="AE42" s="37"/>
      <c r="AF42" s="37"/>
      <c r="AG42" s="37"/>
      <c r="AH42" s="40"/>
      <c r="AI42" s="105">
        <v>1</v>
      </c>
      <c r="AJ42" s="105">
        <v>1</v>
      </c>
      <c r="AK42" s="105">
        <v>1</v>
      </c>
      <c r="AL42" s="105">
        <v>1</v>
      </c>
      <c r="AM42" s="106">
        <v>1</v>
      </c>
      <c r="AN42" s="107">
        <v>1</v>
      </c>
      <c r="AO42" s="105">
        <v>1</v>
      </c>
      <c r="AP42" s="105">
        <v>1</v>
      </c>
      <c r="AQ42" s="105">
        <v>1</v>
      </c>
      <c r="AR42" s="105">
        <v>1</v>
      </c>
      <c r="AS42" s="105">
        <v>1</v>
      </c>
      <c r="AT42" s="105">
        <v>1</v>
      </c>
      <c r="AU42" s="105">
        <v>1</v>
      </c>
      <c r="AV42" s="105">
        <v>1</v>
      </c>
      <c r="AW42" s="105">
        <v>1</v>
      </c>
      <c r="AX42" s="105">
        <v>1</v>
      </c>
      <c r="AY42" s="106">
        <v>1</v>
      </c>
      <c r="AZ42" s="107">
        <v>1</v>
      </c>
      <c r="BA42" s="105">
        <v>1</v>
      </c>
      <c r="BB42" s="105">
        <v>1</v>
      </c>
      <c r="BC42" s="40"/>
      <c r="BD42" s="40"/>
      <c r="BE42" s="37"/>
      <c r="BF42" s="37"/>
      <c r="BG42" s="37"/>
      <c r="BH42" s="37"/>
      <c r="BI42" s="37"/>
      <c r="BJ42" s="37"/>
      <c r="BK42" s="4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</row>
    <row r="43" spans="1:81" s="76" customFormat="1" ht="17" thickBot="1">
      <c r="A43" s="1416"/>
      <c r="B43" s="48" t="s">
        <v>59</v>
      </c>
      <c r="C43" s="49">
        <f t="shared" si="0"/>
        <v>2</v>
      </c>
      <c r="D43" s="50"/>
      <c r="E43" s="51"/>
      <c r="F43" s="48"/>
      <c r="G43" s="48"/>
      <c r="H43" s="51"/>
      <c r="I43" s="51"/>
      <c r="J43" s="51"/>
      <c r="K43" s="51"/>
      <c r="L43" s="48"/>
      <c r="M43" s="48"/>
      <c r="N43" s="48"/>
      <c r="O43" s="55"/>
      <c r="P43" s="61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55"/>
      <c r="AB43" s="61"/>
      <c r="AC43" s="48"/>
      <c r="AD43" s="48"/>
      <c r="AE43" s="48"/>
      <c r="AF43" s="48"/>
      <c r="AG43" s="51"/>
      <c r="AH43" s="51"/>
      <c r="AI43" s="51"/>
      <c r="AJ43" s="51"/>
      <c r="AK43" s="52"/>
      <c r="AL43" s="108">
        <v>1</v>
      </c>
      <c r="AM43" s="109">
        <v>1</v>
      </c>
      <c r="AN43" s="84"/>
      <c r="AO43" s="52"/>
      <c r="AP43" s="48"/>
      <c r="AQ43" s="48"/>
      <c r="AR43" s="51"/>
      <c r="AS43" s="51"/>
      <c r="AT43" s="51"/>
      <c r="AU43" s="51"/>
      <c r="AV43" s="51"/>
      <c r="AW43" s="51"/>
      <c r="AX43" s="51"/>
      <c r="AY43" s="55"/>
      <c r="AZ43" s="61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55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</row>
    <row r="44" spans="1:81" s="76" customFormat="1">
      <c r="A44" s="1414" t="s">
        <v>60</v>
      </c>
      <c r="B44" s="29" t="s">
        <v>61</v>
      </c>
      <c r="C44" s="30">
        <f t="shared" si="0"/>
        <v>2</v>
      </c>
      <c r="D44" s="56"/>
      <c r="E44" s="29"/>
      <c r="F44" s="29"/>
      <c r="G44" s="29"/>
      <c r="H44" s="29"/>
      <c r="I44" s="32"/>
      <c r="J44" s="29"/>
      <c r="K44" s="29"/>
      <c r="L44" s="29"/>
      <c r="M44" s="29"/>
      <c r="N44" s="29"/>
      <c r="O44" s="36"/>
      <c r="P44" s="56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36"/>
      <c r="AB44" s="56"/>
      <c r="AC44" s="29"/>
      <c r="AD44" s="33"/>
      <c r="AE44" s="33"/>
      <c r="AF44" s="110">
        <v>1</v>
      </c>
      <c r="AG44" s="110">
        <v>1</v>
      </c>
      <c r="AH44" s="33"/>
      <c r="AI44" s="29"/>
      <c r="AJ44" s="29"/>
      <c r="AK44" s="29"/>
      <c r="AL44" s="29"/>
      <c r="AM44" s="36"/>
      <c r="AN44" s="56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36"/>
      <c r="AZ44" s="56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36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</row>
    <row r="45" spans="1:81" s="76" customFormat="1" ht="17" thickBot="1">
      <c r="A45" s="1416"/>
      <c r="B45" s="48" t="s">
        <v>62</v>
      </c>
      <c r="C45" s="49">
        <f t="shared" si="0"/>
        <v>2</v>
      </c>
      <c r="D45" s="61"/>
      <c r="E45" s="48"/>
      <c r="F45" s="48"/>
      <c r="G45" s="48"/>
      <c r="H45" s="48"/>
      <c r="I45" s="51"/>
      <c r="J45" s="48"/>
      <c r="K45" s="48"/>
      <c r="L45" s="48"/>
      <c r="M45" s="48"/>
      <c r="N45" s="48"/>
      <c r="O45" s="55"/>
      <c r="P45" s="61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55"/>
      <c r="AB45" s="61"/>
      <c r="AC45" s="48"/>
      <c r="AD45" s="48"/>
      <c r="AE45" s="48"/>
      <c r="AF45" s="48"/>
      <c r="AG45" s="48"/>
      <c r="AH45" s="48"/>
      <c r="AI45" s="48"/>
      <c r="AJ45" s="48"/>
      <c r="AK45" s="48"/>
      <c r="AL45" s="111">
        <v>1</v>
      </c>
      <c r="AM45" s="112">
        <v>1</v>
      </c>
      <c r="AN45" s="61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55"/>
      <c r="AZ45" s="61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55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</row>
    <row r="46" spans="1:81" s="76" customFormat="1">
      <c r="A46" s="1414" t="s">
        <v>63</v>
      </c>
      <c r="B46" s="29" t="s">
        <v>64</v>
      </c>
      <c r="C46" s="30">
        <f>SUM(F46:BK46)</f>
        <v>24</v>
      </c>
      <c r="D46" s="31"/>
      <c r="E46" s="32"/>
      <c r="F46" s="32"/>
      <c r="G46" s="32"/>
      <c r="H46" s="32"/>
      <c r="I46" s="32"/>
      <c r="J46" s="29"/>
      <c r="K46" s="29"/>
      <c r="L46" s="29"/>
      <c r="M46" s="29"/>
      <c r="N46" s="29"/>
      <c r="O46" s="36"/>
      <c r="P46" s="56"/>
      <c r="Q46" s="29"/>
      <c r="R46" s="29"/>
      <c r="S46" s="29"/>
      <c r="T46" s="29"/>
      <c r="U46" s="29"/>
      <c r="V46" s="29"/>
      <c r="W46" s="29"/>
      <c r="X46" s="32"/>
      <c r="Y46" s="29"/>
      <c r="Z46" s="29"/>
      <c r="AA46" s="35"/>
      <c r="AB46" s="56"/>
      <c r="AC46" s="32"/>
      <c r="AD46" s="32"/>
      <c r="AE46" s="32"/>
      <c r="AF46" s="32"/>
      <c r="AG46" s="32"/>
      <c r="AH46" s="32"/>
      <c r="AI46" s="32"/>
      <c r="AJ46" s="113">
        <v>1</v>
      </c>
      <c r="AK46" s="113">
        <v>1</v>
      </c>
      <c r="AL46" s="113">
        <v>1</v>
      </c>
      <c r="AM46" s="114">
        <v>1</v>
      </c>
      <c r="AN46" s="115">
        <v>1</v>
      </c>
      <c r="AO46" s="113">
        <v>1</v>
      </c>
      <c r="AP46" s="113">
        <v>1</v>
      </c>
      <c r="AQ46" s="113">
        <v>1</v>
      </c>
      <c r="AR46" s="113">
        <v>1</v>
      </c>
      <c r="AS46" s="113">
        <v>1</v>
      </c>
      <c r="AT46" s="113">
        <v>1</v>
      </c>
      <c r="AU46" s="113">
        <v>1</v>
      </c>
      <c r="AV46" s="113">
        <v>1</v>
      </c>
      <c r="AW46" s="113">
        <v>1</v>
      </c>
      <c r="AX46" s="113">
        <v>1</v>
      </c>
      <c r="AY46" s="114">
        <v>1</v>
      </c>
      <c r="AZ46" s="115">
        <v>1</v>
      </c>
      <c r="BA46" s="113">
        <v>1</v>
      </c>
      <c r="BB46" s="113">
        <v>1</v>
      </c>
      <c r="BC46" s="113">
        <v>1</v>
      </c>
      <c r="BD46" s="113">
        <v>1</v>
      </c>
      <c r="BE46" s="113">
        <v>1</v>
      </c>
      <c r="BF46" s="113">
        <v>1</v>
      </c>
      <c r="BG46" s="113">
        <v>1</v>
      </c>
      <c r="BH46" s="32"/>
      <c r="BI46" s="32"/>
      <c r="BJ46" s="32"/>
      <c r="BK46" s="35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</row>
    <row r="47" spans="1:81" s="118" customFormat="1" ht="17" thickBot="1">
      <c r="A47" s="1416"/>
      <c r="B47" s="48" t="s">
        <v>65</v>
      </c>
      <c r="C47" s="49">
        <f>SUM(AO47:BK47)</f>
        <v>4</v>
      </c>
      <c r="D47" s="50"/>
      <c r="E47" s="51"/>
      <c r="F47" s="51"/>
      <c r="G47" s="51"/>
      <c r="H47" s="51"/>
      <c r="I47" s="51"/>
      <c r="J47" s="48"/>
      <c r="K47" s="48"/>
      <c r="L47" s="48"/>
      <c r="M47" s="48"/>
      <c r="N47" s="48"/>
      <c r="O47" s="55"/>
      <c r="P47" s="61"/>
      <c r="Q47" s="48"/>
      <c r="R47" s="48"/>
      <c r="S47" s="48"/>
      <c r="T47" s="48"/>
      <c r="U47" s="48"/>
      <c r="V47" s="48"/>
      <c r="W47" s="48"/>
      <c r="X47" s="51"/>
      <c r="Y47" s="48"/>
      <c r="Z47" s="48"/>
      <c r="AA47" s="54"/>
      <c r="AB47" s="61"/>
      <c r="AC47" s="51"/>
      <c r="AD47" s="51"/>
      <c r="AE47" s="48"/>
      <c r="AF47" s="48"/>
      <c r="AG47" s="48"/>
      <c r="AH47" s="51"/>
      <c r="AI47" s="51"/>
      <c r="AJ47" s="51"/>
      <c r="AK47" s="51"/>
      <c r="AL47" s="51"/>
      <c r="AM47" s="54"/>
      <c r="AN47" s="50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4"/>
      <c r="AZ47" s="50"/>
      <c r="BA47" s="51"/>
      <c r="BB47" s="51"/>
      <c r="BC47" s="51"/>
      <c r="BD47" s="48"/>
      <c r="BE47" s="48"/>
      <c r="BF47" s="48"/>
      <c r="BG47" s="51"/>
      <c r="BH47" s="116">
        <v>1</v>
      </c>
      <c r="BI47" s="116">
        <v>1</v>
      </c>
      <c r="BJ47" s="116">
        <v>1</v>
      </c>
      <c r="BK47" s="117">
        <v>1</v>
      </c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</row>
    <row r="48" spans="1:81" ht="17" thickBot="1">
      <c r="B48" s="119"/>
      <c r="C48" s="119"/>
      <c r="D48" s="119"/>
      <c r="E48" s="120"/>
      <c r="F48" s="120"/>
      <c r="G48" s="120"/>
      <c r="H48" s="119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19"/>
      <c r="BF48" s="119"/>
      <c r="BG48" s="119"/>
      <c r="BH48" s="119"/>
      <c r="BI48" s="119"/>
      <c r="BJ48" s="119"/>
      <c r="BK48" s="119"/>
    </row>
    <row r="49" spans="1:63" ht="17" thickBot="1">
      <c r="B49" s="73" t="s">
        <v>66</v>
      </c>
      <c r="C49" s="64">
        <f>SUM(D49:BK49)</f>
        <v>54</v>
      </c>
      <c r="D49" s="121"/>
      <c r="E49" s="122"/>
      <c r="F49" s="122"/>
      <c r="G49" s="122"/>
      <c r="H49" s="122"/>
      <c r="I49" s="122"/>
      <c r="J49" s="123">
        <v>1</v>
      </c>
      <c r="K49" s="123">
        <v>1</v>
      </c>
      <c r="L49" s="123">
        <v>1</v>
      </c>
      <c r="M49" s="123">
        <v>1</v>
      </c>
      <c r="N49" s="123">
        <v>1</v>
      </c>
      <c r="O49" s="124">
        <v>1</v>
      </c>
      <c r="P49" s="125">
        <v>1</v>
      </c>
      <c r="Q49" s="123">
        <v>1</v>
      </c>
      <c r="R49" s="123">
        <v>1</v>
      </c>
      <c r="S49" s="123">
        <v>1</v>
      </c>
      <c r="T49" s="123">
        <v>1</v>
      </c>
      <c r="U49" s="123">
        <v>1</v>
      </c>
      <c r="V49" s="123">
        <v>1</v>
      </c>
      <c r="W49" s="123">
        <v>1</v>
      </c>
      <c r="X49" s="123">
        <v>1</v>
      </c>
      <c r="Y49" s="123">
        <v>1</v>
      </c>
      <c r="Z49" s="123">
        <v>1</v>
      </c>
      <c r="AA49" s="124">
        <v>1</v>
      </c>
      <c r="AB49" s="125">
        <v>1</v>
      </c>
      <c r="AC49" s="123">
        <v>1</v>
      </c>
      <c r="AD49" s="123">
        <v>1</v>
      </c>
      <c r="AE49" s="123">
        <v>1</v>
      </c>
      <c r="AF49" s="123">
        <v>1</v>
      </c>
      <c r="AG49" s="123">
        <v>1</v>
      </c>
      <c r="AH49" s="123">
        <v>1</v>
      </c>
      <c r="AI49" s="123">
        <v>1</v>
      </c>
      <c r="AJ49" s="123">
        <v>1</v>
      </c>
      <c r="AK49" s="123">
        <v>1</v>
      </c>
      <c r="AL49" s="123">
        <v>1</v>
      </c>
      <c r="AM49" s="124">
        <v>1</v>
      </c>
      <c r="AN49" s="125">
        <v>1</v>
      </c>
      <c r="AO49" s="123">
        <v>1</v>
      </c>
      <c r="AP49" s="123">
        <v>1</v>
      </c>
      <c r="AQ49" s="123">
        <v>1</v>
      </c>
      <c r="AR49" s="123">
        <v>1</v>
      </c>
      <c r="AS49" s="123">
        <v>1</v>
      </c>
      <c r="AT49" s="123">
        <v>1</v>
      </c>
      <c r="AU49" s="123">
        <v>1</v>
      </c>
      <c r="AV49" s="123">
        <v>1</v>
      </c>
      <c r="AW49" s="123">
        <v>1</v>
      </c>
      <c r="AX49" s="123">
        <v>1</v>
      </c>
      <c r="AY49" s="124">
        <v>1</v>
      </c>
      <c r="AZ49" s="125">
        <v>1</v>
      </c>
      <c r="BA49" s="123">
        <v>1</v>
      </c>
      <c r="BB49" s="123">
        <v>1</v>
      </c>
      <c r="BC49" s="123">
        <v>1</v>
      </c>
      <c r="BD49" s="123">
        <v>1</v>
      </c>
      <c r="BE49" s="123">
        <v>1</v>
      </c>
      <c r="BF49" s="123">
        <v>1</v>
      </c>
      <c r="BG49" s="123">
        <v>1</v>
      </c>
      <c r="BH49" s="123">
        <v>1</v>
      </c>
      <c r="BI49" s="123">
        <v>1</v>
      </c>
      <c r="BJ49" s="123">
        <v>1</v>
      </c>
      <c r="BK49" s="124">
        <v>1</v>
      </c>
    </row>
    <row r="50" spans="1:63" ht="17" thickBot="1"/>
    <row r="51" spans="1:63">
      <c r="B51" s="56" t="s">
        <v>563</v>
      </c>
      <c r="C51" s="126">
        <f>SUM(D51:BK51)</f>
        <v>25</v>
      </c>
      <c r="D51" s="127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128">
        <v>1</v>
      </c>
      <c r="P51" s="129">
        <v>1</v>
      </c>
      <c r="Q51" s="130">
        <v>1</v>
      </c>
      <c r="R51" s="130">
        <v>1</v>
      </c>
      <c r="S51" s="130">
        <v>1</v>
      </c>
      <c r="T51" s="130">
        <v>1</v>
      </c>
      <c r="U51" s="130">
        <v>1</v>
      </c>
      <c r="V51" s="130">
        <v>1</v>
      </c>
      <c r="W51" s="130">
        <v>1</v>
      </c>
      <c r="X51" s="130">
        <v>1</v>
      </c>
      <c r="Y51" s="130">
        <v>1</v>
      </c>
      <c r="Z51" s="130">
        <v>1</v>
      </c>
      <c r="AA51" s="131">
        <v>1</v>
      </c>
      <c r="AB51" s="129">
        <v>1</v>
      </c>
      <c r="AC51" s="130">
        <v>1</v>
      </c>
      <c r="AD51" s="130">
        <v>1</v>
      </c>
      <c r="AE51" s="130">
        <v>1</v>
      </c>
      <c r="AF51" s="130">
        <v>1</v>
      </c>
      <c r="AG51" s="130">
        <v>1</v>
      </c>
      <c r="AH51" s="130">
        <v>1</v>
      </c>
      <c r="AI51" s="130">
        <v>1</v>
      </c>
      <c r="AJ51" s="130">
        <v>1</v>
      </c>
      <c r="AK51" s="130">
        <v>1</v>
      </c>
      <c r="AL51" s="130">
        <v>1</v>
      </c>
      <c r="AM51" s="131">
        <v>1</v>
      </c>
      <c r="AN51" s="56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36"/>
      <c r="AZ51" s="56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36"/>
    </row>
    <row r="52" spans="1:63" ht="17" thickBot="1">
      <c r="B52" s="61" t="s">
        <v>67</v>
      </c>
      <c r="C52" s="132">
        <f>SUM(D52:BK52)</f>
        <v>24</v>
      </c>
      <c r="D52" s="13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134"/>
      <c r="P52" s="133"/>
      <c r="Q52" s="53"/>
      <c r="R52" s="53"/>
      <c r="S52" s="53"/>
      <c r="T52" s="53"/>
      <c r="U52" s="53"/>
      <c r="V52" s="48"/>
      <c r="W52" s="48"/>
      <c r="X52" s="48"/>
      <c r="Y52" s="48"/>
      <c r="Z52" s="48"/>
      <c r="AA52" s="55"/>
      <c r="AB52" s="61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55"/>
      <c r="AN52" s="135">
        <v>1</v>
      </c>
      <c r="AO52" s="136">
        <v>1</v>
      </c>
      <c r="AP52" s="136">
        <v>1</v>
      </c>
      <c r="AQ52" s="136">
        <v>1</v>
      </c>
      <c r="AR52" s="136">
        <v>1</v>
      </c>
      <c r="AS52" s="136">
        <v>1</v>
      </c>
      <c r="AT52" s="136">
        <v>1</v>
      </c>
      <c r="AU52" s="136">
        <v>1</v>
      </c>
      <c r="AV52" s="136">
        <v>1</v>
      </c>
      <c r="AW52" s="136">
        <v>1</v>
      </c>
      <c r="AX52" s="136">
        <v>1</v>
      </c>
      <c r="AY52" s="137">
        <v>1</v>
      </c>
      <c r="AZ52" s="135">
        <v>1</v>
      </c>
      <c r="BA52" s="136">
        <v>1</v>
      </c>
      <c r="BB52" s="136">
        <v>1</v>
      </c>
      <c r="BC52" s="136">
        <v>1</v>
      </c>
      <c r="BD52" s="136">
        <v>1</v>
      </c>
      <c r="BE52" s="136">
        <v>1</v>
      </c>
      <c r="BF52" s="136">
        <v>1</v>
      </c>
      <c r="BG52" s="136">
        <v>1</v>
      </c>
      <c r="BH52" s="136">
        <v>1</v>
      </c>
      <c r="BI52" s="136">
        <v>1</v>
      </c>
      <c r="BJ52" s="136">
        <v>1</v>
      </c>
      <c r="BK52" s="137">
        <v>1</v>
      </c>
    </row>
    <row r="53" spans="1:63">
      <c r="R53" s="4"/>
      <c r="S53" s="4"/>
      <c r="T53" s="4"/>
      <c r="U53" s="4"/>
      <c r="V53" s="138"/>
      <c r="AD53" s="139"/>
    </row>
    <row r="54" spans="1:63">
      <c r="P54" s="3" t="s">
        <v>3</v>
      </c>
      <c r="Q54" s="4"/>
      <c r="R54" s="4"/>
      <c r="S54" s="4"/>
      <c r="T54" s="4"/>
      <c r="U54" s="4"/>
      <c r="Y54" s="138"/>
    </row>
    <row r="55" spans="1:63">
      <c r="Q55" s="4"/>
      <c r="R55" s="4"/>
      <c r="S55" s="4"/>
      <c r="T55" s="4"/>
      <c r="U55" s="4"/>
      <c r="Z55" s="138"/>
      <c r="AB55" s="138"/>
    </row>
    <row r="56" spans="1:63">
      <c r="Q56" s="4"/>
      <c r="R56" s="4"/>
      <c r="S56" s="4"/>
      <c r="T56" s="4"/>
      <c r="U56" s="4"/>
      <c r="AC56" s="138"/>
    </row>
    <row r="57" spans="1:63">
      <c r="Q57" s="4"/>
      <c r="R57" s="4"/>
      <c r="S57" s="4"/>
      <c r="T57" s="4"/>
      <c r="U57" s="4"/>
      <c r="AD57" s="138"/>
    </row>
    <row r="58" spans="1:63">
      <c r="Q58" s="4"/>
      <c r="R58" s="4"/>
      <c r="S58" s="4"/>
      <c r="T58" s="4"/>
      <c r="U58" s="4"/>
    </row>
    <row r="60" spans="1:63">
      <c r="F60" s="139"/>
    </row>
    <row r="63" spans="1:63" s="3" customFormat="1">
      <c r="A63" s="4"/>
      <c r="B63" s="4"/>
      <c r="C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</row>
    <row r="64" spans="1:63" s="3" customFormat="1">
      <c r="A64" s="4"/>
      <c r="B64" s="4"/>
      <c r="C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</row>
    <row r="65" spans="1:63" s="3" customFormat="1">
      <c r="A65" s="4"/>
      <c r="B65" s="4"/>
      <c r="C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</row>
    <row r="66" spans="1:63" s="3" customFormat="1">
      <c r="A66" s="4"/>
      <c r="B66" s="4"/>
      <c r="C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</row>
    <row r="67" spans="1:63" s="3" customFormat="1">
      <c r="A67" s="4"/>
      <c r="B67" s="4"/>
      <c r="C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</row>
    <row r="68" spans="1:63" s="3" customFormat="1">
      <c r="A68" s="4"/>
      <c r="B68" s="4"/>
      <c r="C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</row>
    <row r="69" spans="1:63" s="3" customFormat="1">
      <c r="A69" s="4"/>
      <c r="B69" s="140"/>
      <c r="C69" s="140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</row>
    <row r="70" spans="1:63" s="3" customFormat="1">
      <c r="A70" s="4"/>
      <c r="B70" s="4"/>
      <c r="C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</row>
  </sheetData>
  <mergeCells count="15">
    <mergeCell ref="A40:A43"/>
    <mergeCell ref="A44:A45"/>
    <mergeCell ref="A46:A47"/>
    <mergeCell ref="A11:A15"/>
    <mergeCell ref="A16:A20"/>
    <mergeCell ref="A22:A29"/>
    <mergeCell ref="A31:A33"/>
    <mergeCell ref="A34:A36"/>
    <mergeCell ref="A37:A39"/>
    <mergeCell ref="AZ9:BK9"/>
    <mergeCell ref="A2:B2"/>
    <mergeCell ref="D9:O9"/>
    <mergeCell ref="P9:AA9"/>
    <mergeCell ref="AB9:AM9"/>
    <mergeCell ref="AN9:AY9"/>
  </mergeCells>
  <printOptions horizontalCentered="1"/>
  <pageMargins left="0.25" right="0.25" top="0.75" bottom="0.75" header="0.3" footer="0.3"/>
  <pageSetup paperSize="8" scale="45" orientation="landscape" r:id="rId1"/>
  <colBreaks count="1" manualBreakCount="1">
    <brk id="4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DF84-B97D-4F4C-8542-6D143051EE33}">
  <sheetPr>
    <pageSetUpPr fitToPage="1"/>
  </sheetPr>
  <dimension ref="B1:Y1000"/>
  <sheetViews>
    <sheetView zoomScale="90" zoomScaleNormal="90" workbookViewId="0">
      <selection activeCell="I12" sqref="I12"/>
    </sheetView>
  </sheetViews>
  <sheetFormatPr baseColWidth="10" defaultColWidth="8.6640625" defaultRowHeight="13"/>
  <cols>
    <col min="1" max="1" width="5.6640625" style="141" customWidth="1"/>
    <col min="2" max="2" width="95.6640625" style="141" customWidth="1"/>
    <col min="3" max="3" width="35.6640625" style="141" customWidth="1"/>
    <col min="4" max="4" width="15.6640625" style="141" customWidth="1"/>
    <col min="5" max="5" width="20.6640625" style="141" customWidth="1"/>
    <col min="6" max="6" width="25.6640625" style="141" customWidth="1"/>
    <col min="7" max="7" width="35.6640625" style="141" customWidth="1"/>
    <col min="8" max="12" width="18.6640625" style="141" customWidth="1"/>
    <col min="13" max="13" width="18.6640625" style="143" customWidth="1"/>
    <col min="14" max="15" width="18.6640625" style="141" customWidth="1"/>
    <col min="16" max="25" width="3.6640625" style="141" customWidth="1"/>
    <col min="26" max="256" width="8.6640625" style="141"/>
    <col min="257" max="257" width="5" style="141" customWidth="1"/>
    <col min="258" max="258" width="90" style="141" customWidth="1"/>
    <col min="259" max="259" width="40.6640625" style="141" customWidth="1"/>
    <col min="260" max="260" width="16.5" style="141" customWidth="1"/>
    <col min="261" max="261" width="19.33203125" style="141" customWidth="1"/>
    <col min="262" max="262" width="25.6640625" style="141" customWidth="1"/>
    <col min="263" max="263" width="32.6640625" style="141" customWidth="1"/>
    <col min="264" max="264" width="22.5" style="141" customWidth="1"/>
    <col min="265" max="267" width="18.1640625" style="141" customWidth="1"/>
    <col min="268" max="268" width="17.5" style="141" customWidth="1"/>
    <col min="269" max="269" width="17.5" style="141" bestFit="1" customWidth="1"/>
    <col min="270" max="270" width="18" style="141" customWidth="1"/>
    <col min="271" max="271" width="32" style="141" customWidth="1"/>
    <col min="272" max="281" width="3.6640625" style="141" customWidth="1"/>
    <col min="282" max="512" width="8.6640625" style="141"/>
    <col min="513" max="513" width="5" style="141" customWidth="1"/>
    <col min="514" max="514" width="90" style="141" customWidth="1"/>
    <col min="515" max="515" width="40.6640625" style="141" customWidth="1"/>
    <col min="516" max="516" width="16.5" style="141" customWidth="1"/>
    <col min="517" max="517" width="19.33203125" style="141" customWidth="1"/>
    <col min="518" max="518" width="25.6640625" style="141" customWidth="1"/>
    <col min="519" max="519" width="32.6640625" style="141" customWidth="1"/>
    <col min="520" max="520" width="22.5" style="141" customWidth="1"/>
    <col min="521" max="523" width="18.1640625" style="141" customWidth="1"/>
    <col min="524" max="524" width="17.5" style="141" customWidth="1"/>
    <col min="525" max="525" width="17.5" style="141" bestFit="1" customWidth="1"/>
    <col min="526" max="526" width="18" style="141" customWidth="1"/>
    <col min="527" max="527" width="32" style="141" customWidth="1"/>
    <col min="528" max="537" width="3.6640625" style="141" customWidth="1"/>
    <col min="538" max="768" width="8.6640625" style="141"/>
    <col min="769" max="769" width="5" style="141" customWidth="1"/>
    <col min="770" max="770" width="90" style="141" customWidth="1"/>
    <col min="771" max="771" width="40.6640625" style="141" customWidth="1"/>
    <col min="772" max="772" width="16.5" style="141" customWidth="1"/>
    <col min="773" max="773" width="19.33203125" style="141" customWidth="1"/>
    <col min="774" max="774" width="25.6640625" style="141" customWidth="1"/>
    <col min="775" max="775" width="32.6640625" style="141" customWidth="1"/>
    <col min="776" max="776" width="22.5" style="141" customWidth="1"/>
    <col min="777" max="779" width="18.1640625" style="141" customWidth="1"/>
    <col min="780" max="780" width="17.5" style="141" customWidth="1"/>
    <col min="781" max="781" width="17.5" style="141" bestFit="1" customWidth="1"/>
    <col min="782" max="782" width="18" style="141" customWidth="1"/>
    <col min="783" max="783" width="32" style="141" customWidth="1"/>
    <col min="784" max="793" width="3.6640625" style="141" customWidth="1"/>
    <col min="794" max="1024" width="8.6640625" style="141"/>
    <col min="1025" max="1025" width="5" style="141" customWidth="1"/>
    <col min="1026" max="1026" width="90" style="141" customWidth="1"/>
    <col min="1027" max="1027" width="40.6640625" style="141" customWidth="1"/>
    <col min="1028" max="1028" width="16.5" style="141" customWidth="1"/>
    <col min="1029" max="1029" width="19.33203125" style="141" customWidth="1"/>
    <col min="1030" max="1030" width="25.6640625" style="141" customWidth="1"/>
    <col min="1031" max="1031" width="32.6640625" style="141" customWidth="1"/>
    <col min="1032" max="1032" width="22.5" style="141" customWidth="1"/>
    <col min="1033" max="1035" width="18.1640625" style="141" customWidth="1"/>
    <col min="1036" max="1036" width="17.5" style="141" customWidth="1"/>
    <col min="1037" max="1037" width="17.5" style="141" bestFit="1" customWidth="1"/>
    <col min="1038" max="1038" width="18" style="141" customWidth="1"/>
    <col min="1039" max="1039" width="32" style="141" customWidth="1"/>
    <col min="1040" max="1049" width="3.6640625" style="141" customWidth="1"/>
    <col min="1050" max="1280" width="8.6640625" style="141"/>
    <col min="1281" max="1281" width="5" style="141" customWidth="1"/>
    <col min="1282" max="1282" width="90" style="141" customWidth="1"/>
    <col min="1283" max="1283" width="40.6640625" style="141" customWidth="1"/>
    <col min="1284" max="1284" width="16.5" style="141" customWidth="1"/>
    <col min="1285" max="1285" width="19.33203125" style="141" customWidth="1"/>
    <col min="1286" max="1286" width="25.6640625" style="141" customWidth="1"/>
    <col min="1287" max="1287" width="32.6640625" style="141" customWidth="1"/>
    <col min="1288" max="1288" width="22.5" style="141" customWidth="1"/>
    <col min="1289" max="1291" width="18.1640625" style="141" customWidth="1"/>
    <col min="1292" max="1292" width="17.5" style="141" customWidth="1"/>
    <col min="1293" max="1293" width="17.5" style="141" bestFit="1" customWidth="1"/>
    <col min="1294" max="1294" width="18" style="141" customWidth="1"/>
    <col min="1295" max="1295" width="32" style="141" customWidth="1"/>
    <col min="1296" max="1305" width="3.6640625" style="141" customWidth="1"/>
    <col min="1306" max="1536" width="8.6640625" style="141"/>
    <col min="1537" max="1537" width="5" style="141" customWidth="1"/>
    <col min="1538" max="1538" width="90" style="141" customWidth="1"/>
    <col min="1539" max="1539" width="40.6640625" style="141" customWidth="1"/>
    <col min="1540" max="1540" width="16.5" style="141" customWidth="1"/>
    <col min="1541" max="1541" width="19.33203125" style="141" customWidth="1"/>
    <col min="1542" max="1542" width="25.6640625" style="141" customWidth="1"/>
    <col min="1543" max="1543" width="32.6640625" style="141" customWidth="1"/>
    <col min="1544" max="1544" width="22.5" style="141" customWidth="1"/>
    <col min="1545" max="1547" width="18.1640625" style="141" customWidth="1"/>
    <col min="1548" max="1548" width="17.5" style="141" customWidth="1"/>
    <col min="1549" max="1549" width="17.5" style="141" bestFit="1" customWidth="1"/>
    <col min="1550" max="1550" width="18" style="141" customWidth="1"/>
    <col min="1551" max="1551" width="32" style="141" customWidth="1"/>
    <col min="1552" max="1561" width="3.6640625" style="141" customWidth="1"/>
    <col min="1562" max="1792" width="8.6640625" style="141"/>
    <col min="1793" max="1793" width="5" style="141" customWidth="1"/>
    <col min="1794" max="1794" width="90" style="141" customWidth="1"/>
    <col min="1795" max="1795" width="40.6640625" style="141" customWidth="1"/>
    <col min="1796" max="1796" width="16.5" style="141" customWidth="1"/>
    <col min="1797" max="1797" width="19.33203125" style="141" customWidth="1"/>
    <col min="1798" max="1798" width="25.6640625" style="141" customWidth="1"/>
    <col min="1799" max="1799" width="32.6640625" style="141" customWidth="1"/>
    <col min="1800" max="1800" width="22.5" style="141" customWidth="1"/>
    <col min="1801" max="1803" width="18.1640625" style="141" customWidth="1"/>
    <col min="1804" max="1804" width="17.5" style="141" customWidth="1"/>
    <col min="1805" max="1805" width="17.5" style="141" bestFit="1" customWidth="1"/>
    <col min="1806" max="1806" width="18" style="141" customWidth="1"/>
    <col min="1807" max="1807" width="32" style="141" customWidth="1"/>
    <col min="1808" max="1817" width="3.6640625" style="141" customWidth="1"/>
    <col min="1818" max="2048" width="8.6640625" style="141"/>
    <col min="2049" max="2049" width="5" style="141" customWidth="1"/>
    <col min="2050" max="2050" width="90" style="141" customWidth="1"/>
    <col min="2051" max="2051" width="40.6640625" style="141" customWidth="1"/>
    <col min="2052" max="2052" width="16.5" style="141" customWidth="1"/>
    <col min="2053" max="2053" width="19.33203125" style="141" customWidth="1"/>
    <col min="2054" max="2054" width="25.6640625" style="141" customWidth="1"/>
    <col min="2055" max="2055" width="32.6640625" style="141" customWidth="1"/>
    <col min="2056" max="2056" width="22.5" style="141" customWidth="1"/>
    <col min="2057" max="2059" width="18.1640625" style="141" customWidth="1"/>
    <col min="2060" max="2060" width="17.5" style="141" customWidth="1"/>
    <col min="2061" max="2061" width="17.5" style="141" bestFit="1" customWidth="1"/>
    <col min="2062" max="2062" width="18" style="141" customWidth="1"/>
    <col min="2063" max="2063" width="32" style="141" customWidth="1"/>
    <col min="2064" max="2073" width="3.6640625" style="141" customWidth="1"/>
    <col min="2074" max="2304" width="8.6640625" style="141"/>
    <col min="2305" max="2305" width="5" style="141" customWidth="1"/>
    <col min="2306" max="2306" width="90" style="141" customWidth="1"/>
    <col min="2307" max="2307" width="40.6640625" style="141" customWidth="1"/>
    <col min="2308" max="2308" width="16.5" style="141" customWidth="1"/>
    <col min="2309" max="2309" width="19.33203125" style="141" customWidth="1"/>
    <col min="2310" max="2310" width="25.6640625" style="141" customWidth="1"/>
    <col min="2311" max="2311" width="32.6640625" style="141" customWidth="1"/>
    <col min="2312" max="2312" width="22.5" style="141" customWidth="1"/>
    <col min="2313" max="2315" width="18.1640625" style="141" customWidth="1"/>
    <col min="2316" max="2316" width="17.5" style="141" customWidth="1"/>
    <col min="2317" max="2317" width="17.5" style="141" bestFit="1" customWidth="1"/>
    <col min="2318" max="2318" width="18" style="141" customWidth="1"/>
    <col min="2319" max="2319" width="32" style="141" customWidth="1"/>
    <col min="2320" max="2329" width="3.6640625" style="141" customWidth="1"/>
    <col min="2330" max="2560" width="8.6640625" style="141"/>
    <col min="2561" max="2561" width="5" style="141" customWidth="1"/>
    <col min="2562" max="2562" width="90" style="141" customWidth="1"/>
    <col min="2563" max="2563" width="40.6640625" style="141" customWidth="1"/>
    <col min="2564" max="2564" width="16.5" style="141" customWidth="1"/>
    <col min="2565" max="2565" width="19.33203125" style="141" customWidth="1"/>
    <col min="2566" max="2566" width="25.6640625" style="141" customWidth="1"/>
    <col min="2567" max="2567" width="32.6640625" style="141" customWidth="1"/>
    <col min="2568" max="2568" width="22.5" style="141" customWidth="1"/>
    <col min="2569" max="2571" width="18.1640625" style="141" customWidth="1"/>
    <col min="2572" max="2572" width="17.5" style="141" customWidth="1"/>
    <col min="2573" max="2573" width="17.5" style="141" bestFit="1" customWidth="1"/>
    <col min="2574" max="2574" width="18" style="141" customWidth="1"/>
    <col min="2575" max="2575" width="32" style="141" customWidth="1"/>
    <col min="2576" max="2585" width="3.6640625" style="141" customWidth="1"/>
    <col min="2586" max="2816" width="8.6640625" style="141"/>
    <col min="2817" max="2817" width="5" style="141" customWidth="1"/>
    <col min="2818" max="2818" width="90" style="141" customWidth="1"/>
    <col min="2819" max="2819" width="40.6640625" style="141" customWidth="1"/>
    <col min="2820" max="2820" width="16.5" style="141" customWidth="1"/>
    <col min="2821" max="2821" width="19.33203125" style="141" customWidth="1"/>
    <col min="2822" max="2822" width="25.6640625" style="141" customWidth="1"/>
    <col min="2823" max="2823" width="32.6640625" style="141" customWidth="1"/>
    <col min="2824" max="2824" width="22.5" style="141" customWidth="1"/>
    <col min="2825" max="2827" width="18.1640625" style="141" customWidth="1"/>
    <col min="2828" max="2828" width="17.5" style="141" customWidth="1"/>
    <col min="2829" max="2829" width="17.5" style="141" bestFit="1" customWidth="1"/>
    <col min="2830" max="2830" width="18" style="141" customWidth="1"/>
    <col min="2831" max="2831" width="32" style="141" customWidth="1"/>
    <col min="2832" max="2841" width="3.6640625" style="141" customWidth="1"/>
    <col min="2842" max="3072" width="8.6640625" style="141"/>
    <col min="3073" max="3073" width="5" style="141" customWidth="1"/>
    <col min="3074" max="3074" width="90" style="141" customWidth="1"/>
    <col min="3075" max="3075" width="40.6640625" style="141" customWidth="1"/>
    <col min="3076" max="3076" width="16.5" style="141" customWidth="1"/>
    <col min="3077" max="3077" width="19.33203125" style="141" customWidth="1"/>
    <col min="3078" max="3078" width="25.6640625" style="141" customWidth="1"/>
    <col min="3079" max="3079" width="32.6640625" style="141" customWidth="1"/>
    <col min="3080" max="3080" width="22.5" style="141" customWidth="1"/>
    <col min="3081" max="3083" width="18.1640625" style="141" customWidth="1"/>
    <col min="3084" max="3084" width="17.5" style="141" customWidth="1"/>
    <col min="3085" max="3085" width="17.5" style="141" bestFit="1" customWidth="1"/>
    <col min="3086" max="3086" width="18" style="141" customWidth="1"/>
    <col min="3087" max="3087" width="32" style="141" customWidth="1"/>
    <col min="3088" max="3097" width="3.6640625" style="141" customWidth="1"/>
    <col min="3098" max="3328" width="8.6640625" style="141"/>
    <col min="3329" max="3329" width="5" style="141" customWidth="1"/>
    <col min="3330" max="3330" width="90" style="141" customWidth="1"/>
    <col min="3331" max="3331" width="40.6640625" style="141" customWidth="1"/>
    <col min="3332" max="3332" width="16.5" style="141" customWidth="1"/>
    <col min="3333" max="3333" width="19.33203125" style="141" customWidth="1"/>
    <col min="3334" max="3334" width="25.6640625" style="141" customWidth="1"/>
    <col min="3335" max="3335" width="32.6640625" style="141" customWidth="1"/>
    <col min="3336" max="3336" width="22.5" style="141" customWidth="1"/>
    <col min="3337" max="3339" width="18.1640625" style="141" customWidth="1"/>
    <col min="3340" max="3340" width="17.5" style="141" customWidth="1"/>
    <col min="3341" max="3341" width="17.5" style="141" bestFit="1" customWidth="1"/>
    <col min="3342" max="3342" width="18" style="141" customWidth="1"/>
    <col min="3343" max="3343" width="32" style="141" customWidth="1"/>
    <col min="3344" max="3353" width="3.6640625" style="141" customWidth="1"/>
    <col min="3354" max="3584" width="8.6640625" style="141"/>
    <col min="3585" max="3585" width="5" style="141" customWidth="1"/>
    <col min="3586" max="3586" width="90" style="141" customWidth="1"/>
    <col min="3587" max="3587" width="40.6640625" style="141" customWidth="1"/>
    <col min="3588" max="3588" width="16.5" style="141" customWidth="1"/>
    <col min="3589" max="3589" width="19.33203125" style="141" customWidth="1"/>
    <col min="3590" max="3590" width="25.6640625" style="141" customWidth="1"/>
    <col min="3591" max="3591" width="32.6640625" style="141" customWidth="1"/>
    <col min="3592" max="3592" width="22.5" style="141" customWidth="1"/>
    <col min="3593" max="3595" width="18.1640625" style="141" customWidth="1"/>
    <col min="3596" max="3596" width="17.5" style="141" customWidth="1"/>
    <col min="3597" max="3597" width="17.5" style="141" bestFit="1" customWidth="1"/>
    <col min="3598" max="3598" width="18" style="141" customWidth="1"/>
    <col min="3599" max="3599" width="32" style="141" customWidth="1"/>
    <col min="3600" max="3609" width="3.6640625" style="141" customWidth="1"/>
    <col min="3610" max="3840" width="8.6640625" style="141"/>
    <col min="3841" max="3841" width="5" style="141" customWidth="1"/>
    <col min="3842" max="3842" width="90" style="141" customWidth="1"/>
    <col min="3843" max="3843" width="40.6640625" style="141" customWidth="1"/>
    <col min="3844" max="3844" width="16.5" style="141" customWidth="1"/>
    <col min="3845" max="3845" width="19.33203125" style="141" customWidth="1"/>
    <col min="3846" max="3846" width="25.6640625" style="141" customWidth="1"/>
    <col min="3847" max="3847" width="32.6640625" style="141" customWidth="1"/>
    <col min="3848" max="3848" width="22.5" style="141" customWidth="1"/>
    <col min="3849" max="3851" width="18.1640625" style="141" customWidth="1"/>
    <col min="3852" max="3852" width="17.5" style="141" customWidth="1"/>
    <col min="3853" max="3853" width="17.5" style="141" bestFit="1" customWidth="1"/>
    <col min="3854" max="3854" width="18" style="141" customWidth="1"/>
    <col min="3855" max="3855" width="32" style="141" customWidth="1"/>
    <col min="3856" max="3865" width="3.6640625" style="141" customWidth="1"/>
    <col min="3866" max="4096" width="8.6640625" style="141"/>
    <col min="4097" max="4097" width="5" style="141" customWidth="1"/>
    <col min="4098" max="4098" width="90" style="141" customWidth="1"/>
    <col min="4099" max="4099" width="40.6640625" style="141" customWidth="1"/>
    <col min="4100" max="4100" width="16.5" style="141" customWidth="1"/>
    <col min="4101" max="4101" width="19.33203125" style="141" customWidth="1"/>
    <col min="4102" max="4102" width="25.6640625" style="141" customWidth="1"/>
    <col min="4103" max="4103" width="32.6640625" style="141" customWidth="1"/>
    <col min="4104" max="4104" width="22.5" style="141" customWidth="1"/>
    <col min="4105" max="4107" width="18.1640625" style="141" customWidth="1"/>
    <col min="4108" max="4108" width="17.5" style="141" customWidth="1"/>
    <col min="4109" max="4109" width="17.5" style="141" bestFit="1" customWidth="1"/>
    <col min="4110" max="4110" width="18" style="141" customWidth="1"/>
    <col min="4111" max="4111" width="32" style="141" customWidth="1"/>
    <col min="4112" max="4121" width="3.6640625" style="141" customWidth="1"/>
    <col min="4122" max="4352" width="8.6640625" style="141"/>
    <col min="4353" max="4353" width="5" style="141" customWidth="1"/>
    <col min="4354" max="4354" width="90" style="141" customWidth="1"/>
    <col min="4355" max="4355" width="40.6640625" style="141" customWidth="1"/>
    <col min="4356" max="4356" width="16.5" style="141" customWidth="1"/>
    <col min="4357" max="4357" width="19.33203125" style="141" customWidth="1"/>
    <col min="4358" max="4358" width="25.6640625" style="141" customWidth="1"/>
    <col min="4359" max="4359" width="32.6640625" style="141" customWidth="1"/>
    <col min="4360" max="4360" width="22.5" style="141" customWidth="1"/>
    <col min="4361" max="4363" width="18.1640625" style="141" customWidth="1"/>
    <col min="4364" max="4364" width="17.5" style="141" customWidth="1"/>
    <col min="4365" max="4365" width="17.5" style="141" bestFit="1" customWidth="1"/>
    <col min="4366" max="4366" width="18" style="141" customWidth="1"/>
    <col min="4367" max="4367" width="32" style="141" customWidth="1"/>
    <col min="4368" max="4377" width="3.6640625" style="141" customWidth="1"/>
    <col min="4378" max="4608" width="8.6640625" style="141"/>
    <col min="4609" max="4609" width="5" style="141" customWidth="1"/>
    <col min="4610" max="4610" width="90" style="141" customWidth="1"/>
    <col min="4611" max="4611" width="40.6640625" style="141" customWidth="1"/>
    <col min="4612" max="4612" width="16.5" style="141" customWidth="1"/>
    <col min="4613" max="4613" width="19.33203125" style="141" customWidth="1"/>
    <col min="4614" max="4614" width="25.6640625" style="141" customWidth="1"/>
    <col min="4615" max="4615" width="32.6640625" style="141" customWidth="1"/>
    <col min="4616" max="4616" width="22.5" style="141" customWidth="1"/>
    <col min="4617" max="4619" width="18.1640625" style="141" customWidth="1"/>
    <col min="4620" max="4620" width="17.5" style="141" customWidth="1"/>
    <col min="4621" max="4621" width="17.5" style="141" bestFit="1" customWidth="1"/>
    <col min="4622" max="4622" width="18" style="141" customWidth="1"/>
    <col min="4623" max="4623" width="32" style="141" customWidth="1"/>
    <col min="4624" max="4633" width="3.6640625" style="141" customWidth="1"/>
    <col min="4634" max="4864" width="8.6640625" style="141"/>
    <col min="4865" max="4865" width="5" style="141" customWidth="1"/>
    <col min="4866" max="4866" width="90" style="141" customWidth="1"/>
    <col min="4867" max="4867" width="40.6640625" style="141" customWidth="1"/>
    <col min="4868" max="4868" width="16.5" style="141" customWidth="1"/>
    <col min="4869" max="4869" width="19.33203125" style="141" customWidth="1"/>
    <col min="4870" max="4870" width="25.6640625" style="141" customWidth="1"/>
    <col min="4871" max="4871" width="32.6640625" style="141" customWidth="1"/>
    <col min="4872" max="4872" width="22.5" style="141" customWidth="1"/>
    <col min="4873" max="4875" width="18.1640625" style="141" customWidth="1"/>
    <col min="4876" max="4876" width="17.5" style="141" customWidth="1"/>
    <col min="4877" max="4877" width="17.5" style="141" bestFit="1" customWidth="1"/>
    <col min="4878" max="4878" width="18" style="141" customWidth="1"/>
    <col min="4879" max="4879" width="32" style="141" customWidth="1"/>
    <col min="4880" max="4889" width="3.6640625" style="141" customWidth="1"/>
    <col min="4890" max="5120" width="8.6640625" style="141"/>
    <col min="5121" max="5121" width="5" style="141" customWidth="1"/>
    <col min="5122" max="5122" width="90" style="141" customWidth="1"/>
    <col min="5123" max="5123" width="40.6640625" style="141" customWidth="1"/>
    <col min="5124" max="5124" width="16.5" style="141" customWidth="1"/>
    <col min="5125" max="5125" width="19.33203125" style="141" customWidth="1"/>
    <col min="5126" max="5126" width="25.6640625" style="141" customWidth="1"/>
    <col min="5127" max="5127" width="32.6640625" style="141" customWidth="1"/>
    <col min="5128" max="5128" width="22.5" style="141" customWidth="1"/>
    <col min="5129" max="5131" width="18.1640625" style="141" customWidth="1"/>
    <col min="5132" max="5132" width="17.5" style="141" customWidth="1"/>
    <col min="5133" max="5133" width="17.5" style="141" bestFit="1" customWidth="1"/>
    <col min="5134" max="5134" width="18" style="141" customWidth="1"/>
    <col min="5135" max="5135" width="32" style="141" customWidth="1"/>
    <col min="5136" max="5145" width="3.6640625" style="141" customWidth="1"/>
    <col min="5146" max="5376" width="8.6640625" style="141"/>
    <col min="5377" max="5377" width="5" style="141" customWidth="1"/>
    <col min="5378" max="5378" width="90" style="141" customWidth="1"/>
    <col min="5379" max="5379" width="40.6640625" style="141" customWidth="1"/>
    <col min="5380" max="5380" width="16.5" style="141" customWidth="1"/>
    <col min="5381" max="5381" width="19.33203125" style="141" customWidth="1"/>
    <col min="5382" max="5382" width="25.6640625" style="141" customWidth="1"/>
    <col min="5383" max="5383" width="32.6640625" style="141" customWidth="1"/>
    <col min="5384" max="5384" width="22.5" style="141" customWidth="1"/>
    <col min="5385" max="5387" width="18.1640625" style="141" customWidth="1"/>
    <col min="5388" max="5388" width="17.5" style="141" customWidth="1"/>
    <col min="5389" max="5389" width="17.5" style="141" bestFit="1" customWidth="1"/>
    <col min="5390" max="5390" width="18" style="141" customWidth="1"/>
    <col min="5391" max="5391" width="32" style="141" customWidth="1"/>
    <col min="5392" max="5401" width="3.6640625" style="141" customWidth="1"/>
    <col min="5402" max="5632" width="8.6640625" style="141"/>
    <col min="5633" max="5633" width="5" style="141" customWidth="1"/>
    <col min="5634" max="5634" width="90" style="141" customWidth="1"/>
    <col min="5635" max="5635" width="40.6640625" style="141" customWidth="1"/>
    <col min="5636" max="5636" width="16.5" style="141" customWidth="1"/>
    <col min="5637" max="5637" width="19.33203125" style="141" customWidth="1"/>
    <col min="5638" max="5638" width="25.6640625" style="141" customWidth="1"/>
    <col min="5639" max="5639" width="32.6640625" style="141" customWidth="1"/>
    <col min="5640" max="5640" width="22.5" style="141" customWidth="1"/>
    <col min="5641" max="5643" width="18.1640625" style="141" customWidth="1"/>
    <col min="5644" max="5644" width="17.5" style="141" customWidth="1"/>
    <col min="5645" max="5645" width="17.5" style="141" bestFit="1" customWidth="1"/>
    <col min="5646" max="5646" width="18" style="141" customWidth="1"/>
    <col min="5647" max="5647" width="32" style="141" customWidth="1"/>
    <col min="5648" max="5657" width="3.6640625" style="141" customWidth="1"/>
    <col min="5658" max="5888" width="8.6640625" style="141"/>
    <col min="5889" max="5889" width="5" style="141" customWidth="1"/>
    <col min="5890" max="5890" width="90" style="141" customWidth="1"/>
    <col min="5891" max="5891" width="40.6640625" style="141" customWidth="1"/>
    <col min="5892" max="5892" width="16.5" style="141" customWidth="1"/>
    <col min="5893" max="5893" width="19.33203125" style="141" customWidth="1"/>
    <col min="5894" max="5894" width="25.6640625" style="141" customWidth="1"/>
    <col min="5895" max="5895" width="32.6640625" style="141" customWidth="1"/>
    <col min="5896" max="5896" width="22.5" style="141" customWidth="1"/>
    <col min="5897" max="5899" width="18.1640625" style="141" customWidth="1"/>
    <col min="5900" max="5900" width="17.5" style="141" customWidth="1"/>
    <col min="5901" max="5901" width="17.5" style="141" bestFit="1" customWidth="1"/>
    <col min="5902" max="5902" width="18" style="141" customWidth="1"/>
    <col min="5903" max="5903" width="32" style="141" customWidth="1"/>
    <col min="5904" max="5913" width="3.6640625" style="141" customWidth="1"/>
    <col min="5914" max="6144" width="8.6640625" style="141"/>
    <col min="6145" max="6145" width="5" style="141" customWidth="1"/>
    <col min="6146" max="6146" width="90" style="141" customWidth="1"/>
    <col min="6147" max="6147" width="40.6640625" style="141" customWidth="1"/>
    <col min="6148" max="6148" width="16.5" style="141" customWidth="1"/>
    <col min="6149" max="6149" width="19.33203125" style="141" customWidth="1"/>
    <col min="6150" max="6150" width="25.6640625" style="141" customWidth="1"/>
    <col min="6151" max="6151" width="32.6640625" style="141" customWidth="1"/>
    <col min="6152" max="6152" width="22.5" style="141" customWidth="1"/>
    <col min="6153" max="6155" width="18.1640625" style="141" customWidth="1"/>
    <col min="6156" max="6156" width="17.5" style="141" customWidth="1"/>
    <col min="6157" max="6157" width="17.5" style="141" bestFit="1" customWidth="1"/>
    <col min="6158" max="6158" width="18" style="141" customWidth="1"/>
    <col min="6159" max="6159" width="32" style="141" customWidth="1"/>
    <col min="6160" max="6169" width="3.6640625" style="141" customWidth="1"/>
    <col min="6170" max="6400" width="8.6640625" style="141"/>
    <col min="6401" max="6401" width="5" style="141" customWidth="1"/>
    <col min="6402" max="6402" width="90" style="141" customWidth="1"/>
    <col min="6403" max="6403" width="40.6640625" style="141" customWidth="1"/>
    <col min="6404" max="6404" width="16.5" style="141" customWidth="1"/>
    <col min="6405" max="6405" width="19.33203125" style="141" customWidth="1"/>
    <col min="6406" max="6406" width="25.6640625" style="141" customWidth="1"/>
    <col min="6407" max="6407" width="32.6640625" style="141" customWidth="1"/>
    <col min="6408" max="6408" width="22.5" style="141" customWidth="1"/>
    <col min="6409" max="6411" width="18.1640625" style="141" customWidth="1"/>
    <col min="6412" max="6412" width="17.5" style="141" customWidth="1"/>
    <col min="6413" max="6413" width="17.5" style="141" bestFit="1" customWidth="1"/>
    <col min="6414" max="6414" width="18" style="141" customWidth="1"/>
    <col min="6415" max="6415" width="32" style="141" customWidth="1"/>
    <col min="6416" max="6425" width="3.6640625" style="141" customWidth="1"/>
    <col min="6426" max="6656" width="8.6640625" style="141"/>
    <col min="6657" max="6657" width="5" style="141" customWidth="1"/>
    <col min="6658" max="6658" width="90" style="141" customWidth="1"/>
    <col min="6659" max="6659" width="40.6640625" style="141" customWidth="1"/>
    <col min="6660" max="6660" width="16.5" style="141" customWidth="1"/>
    <col min="6661" max="6661" width="19.33203125" style="141" customWidth="1"/>
    <col min="6662" max="6662" width="25.6640625" style="141" customWidth="1"/>
    <col min="6663" max="6663" width="32.6640625" style="141" customWidth="1"/>
    <col min="6664" max="6664" width="22.5" style="141" customWidth="1"/>
    <col min="6665" max="6667" width="18.1640625" style="141" customWidth="1"/>
    <col min="6668" max="6668" width="17.5" style="141" customWidth="1"/>
    <col min="6669" max="6669" width="17.5" style="141" bestFit="1" customWidth="1"/>
    <col min="6670" max="6670" width="18" style="141" customWidth="1"/>
    <col min="6671" max="6671" width="32" style="141" customWidth="1"/>
    <col min="6672" max="6681" width="3.6640625" style="141" customWidth="1"/>
    <col min="6682" max="6912" width="8.6640625" style="141"/>
    <col min="6913" max="6913" width="5" style="141" customWidth="1"/>
    <col min="6914" max="6914" width="90" style="141" customWidth="1"/>
    <col min="6915" max="6915" width="40.6640625" style="141" customWidth="1"/>
    <col min="6916" max="6916" width="16.5" style="141" customWidth="1"/>
    <col min="6917" max="6917" width="19.33203125" style="141" customWidth="1"/>
    <col min="6918" max="6918" width="25.6640625" style="141" customWidth="1"/>
    <col min="6919" max="6919" width="32.6640625" style="141" customWidth="1"/>
    <col min="6920" max="6920" width="22.5" style="141" customWidth="1"/>
    <col min="6921" max="6923" width="18.1640625" style="141" customWidth="1"/>
    <col min="6924" max="6924" width="17.5" style="141" customWidth="1"/>
    <col min="6925" max="6925" width="17.5" style="141" bestFit="1" customWidth="1"/>
    <col min="6926" max="6926" width="18" style="141" customWidth="1"/>
    <col min="6927" max="6927" width="32" style="141" customWidth="1"/>
    <col min="6928" max="6937" width="3.6640625" style="141" customWidth="1"/>
    <col min="6938" max="7168" width="8.6640625" style="141"/>
    <col min="7169" max="7169" width="5" style="141" customWidth="1"/>
    <col min="7170" max="7170" width="90" style="141" customWidth="1"/>
    <col min="7171" max="7171" width="40.6640625" style="141" customWidth="1"/>
    <col min="7172" max="7172" width="16.5" style="141" customWidth="1"/>
    <col min="7173" max="7173" width="19.33203125" style="141" customWidth="1"/>
    <col min="7174" max="7174" width="25.6640625" style="141" customWidth="1"/>
    <col min="7175" max="7175" width="32.6640625" style="141" customWidth="1"/>
    <col min="7176" max="7176" width="22.5" style="141" customWidth="1"/>
    <col min="7177" max="7179" width="18.1640625" style="141" customWidth="1"/>
    <col min="7180" max="7180" width="17.5" style="141" customWidth="1"/>
    <col min="7181" max="7181" width="17.5" style="141" bestFit="1" customWidth="1"/>
    <col min="7182" max="7182" width="18" style="141" customWidth="1"/>
    <col min="7183" max="7183" width="32" style="141" customWidth="1"/>
    <col min="7184" max="7193" width="3.6640625" style="141" customWidth="1"/>
    <col min="7194" max="7424" width="8.6640625" style="141"/>
    <col min="7425" max="7425" width="5" style="141" customWidth="1"/>
    <col min="7426" max="7426" width="90" style="141" customWidth="1"/>
    <col min="7427" max="7427" width="40.6640625" style="141" customWidth="1"/>
    <col min="7428" max="7428" width="16.5" style="141" customWidth="1"/>
    <col min="7429" max="7429" width="19.33203125" style="141" customWidth="1"/>
    <col min="7430" max="7430" width="25.6640625" style="141" customWidth="1"/>
    <col min="7431" max="7431" width="32.6640625" style="141" customWidth="1"/>
    <col min="7432" max="7432" width="22.5" style="141" customWidth="1"/>
    <col min="7433" max="7435" width="18.1640625" style="141" customWidth="1"/>
    <col min="7436" max="7436" width="17.5" style="141" customWidth="1"/>
    <col min="7437" max="7437" width="17.5" style="141" bestFit="1" customWidth="1"/>
    <col min="7438" max="7438" width="18" style="141" customWidth="1"/>
    <col min="7439" max="7439" width="32" style="141" customWidth="1"/>
    <col min="7440" max="7449" width="3.6640625" style="141" customWidth="1"/>
    <col min="7450" max="7680" width="8.6640625" style="141"/>
    <col min="7681" max="7681" width="5" style="141" customWidth="1"/>
    <col min="7682" max="7682" width="90" style="141" customWidth="1"/>
    <col min="7683" max="7683" width="40.6640625" style="141" customWidth="1"/>
    <col min="7684" max="7684" width="16.5" style="141" customWidth="1"/>
    <col min="7685" max="7685" width="19.33203125" style="141" customWidth="1"/>
    <col min="7686" max="7686" width="25.6640625" style="141" customWidth="1"/>
    <col min="7687" max="7687" width="32.6640625" style="141" customWidth="1"/>
    <col min="7688" max="7688" width="22.5" style="141" customWidth="1"/>
    <col min="7689" max="7691" width="18.1640625" style="141" customWidth="1"/>
    <col min="7692" max="7692" width="17.5" style="141" customWidth="1"/>
    <col min="7693" max="7693" width="17.5" style="141" bestFit="1" customWidth="1"/>
    <col min="7694" max="7694" width="18" style="141" customWidth="1"/>
    <col min="7695" max="7695" width="32" style="141" customWidth="1"/>
    <col min="7696" max="7705" width="3.6640625" style="141" customWidth="1"/>
    <col min="7706" max="7936" width="8.6640625" style="141"/>
    <col min="7937" max="7937" width="5" style="141" customWidth="1"/>
    <col min="7938" max="7938" width="90" style="141" customWidth="1"/>
    <col min="7939" max="7939" width="40.6640625" style="141" customWidth="1"/>
    <col min="7940" max="7940" width="16.5" style="141" customWidth="1"/>
    <col min="7941" max="7941" width="19.33203125" style="141" customWidth="1"/>
    <col min="7942" max="7942" width="25.6640625" style="141" customWidth="1"/>
    <col min="7943" max="7943" width="32.6640625" style="141" customWidth="1"/>
    <col min="7944" max="7944" width="22.5" style="141" customWidth="1"/>
    <col min="7945" max="7947" width="18.1640625" style="141" customWidth="1"/>
    <col min="7948" max="7948" width="17.5" style="141" customWidth="1"/>
    <col min="7949" max="7949" width="17.5" style="141" bestFit="1" customWidth="1"/>
    <col min="7950" max="7950" width="18" style="141" customWidth="1"/>
    <col min="7951" max="7951" width="32" style="141" customWidth="1"/>
    <col min="7952" max="7961" width="3.6640625" style="141" customWidth="1"/>
    <col min="7962" max="8192" width="8.6640625" style="141"/>
    <col min="8193" max="8193" width="5" style="141" customWidth="1"/>
    <col min="8194" max="8194" width="90" style="141" customWidth="1"/>
    <col min="8195" max="8195" width="40.6640625" style="141" customWidth="1"/>
    <col min="8196" max="8196" width="16.5" style="141" customWidth="1"/>
    <col min="8197" max="8197" width="19.33203125" style="141" customWidth="1"/>
    <col min="8198" max="8198" width="25.6640625" style="141" customWidth="1"/>
    <col min="8199" max="8199" width="32.6640625" style="141" customWidth="1"/>
    <col min="8200" max="8200" width="22.5" style="141" customWidth="1"/>
    <col min="8201" max="8203" width="18.1640625" style="141" customWidth="1"/>
    <col min="8204" max="8204" width="17.5" style="141" customWidth="1"/>
    <col min="8205" max="8205" width="17.5" style="141" bestFit="1" customWidth="1"/>
    <col min="8206" max="8206" width="18" style="141" customWidth="1"/>
    <col min="8207" max="8207" width="32" style="141" customWidth="1"/>
    <col min="8208" max="8217" width="3.6640625" style="141" customWidth="1"/>
    <col min="8218" max="8448" width="8.6640625" style="141"/>
    <col min="8449" max="8449" width="5" style="141" customWidth="1"/>
    <col min="8450" max="8450" width="90" style="141" customWidth="1"/>
    <col min="8451" max="8451" width="40.6640625" style="141" customWidth="1"/>
    <col min="8452" max="8452" width="16.5" style="141" customWidth="1"/>
    <col min="8453" max="8453" width="19.33203125" style="141" customWidth="1"/>
    <col min="8454" max="8454" width="25.6640625" style="141" customWidth="1"/>
    <col min="8455" max="8455" width="32.6640625" style="141" customWidth="1"/>
    <col min="8456" max="8456" width="22.5" style="141" customWidth="1"/>
    <col min="8457" max="8459" width="18.1640625" style="141" customWidth="1"/>
    <col min="8460" max="8460" width="17.5" style="141" customWidth="1"/>
    <col min="8461" max="8461" width="17.5" style="141" bestFit="1" customWidth="1"/>
    <col min="8462" max="8462" width="18" style="141" customWidth="1"/>
    <col min="8463" max="8463" width="32" style="141" customWidth="1"/>
    <col min="8464" max="8473" width="3.6640625" style="141" customWidth="1"/>
    <col min="8474" max="8704" width="8.6640625" style="141"/>
    <col min="8705" max="8705" width="5" style="141" customWidth="1"/>
    <col min="8706" max="8706" width="90" style="141" customWidth="1"/>
    <col min="8707" max="8707" width="40.6640625" style="141" customWidth="1"/>
    <col min="8708" max="8708" width="16.5" style="141" customWidth="1"/>
    <col min="8709" max="8709" width="19.33203125" style="141" customWidth="1"/>
    <col min="8710" max="8710" width="25.6640625" style="141" customWidth="1"/>
    <col min="8711" max="8711" width="32.6640625" style="141" customWidth="1"/>
    <col min="8712" max="8712" width="22.5" style="141" customWidth="1"/>
    <col min="8713" max="8715" width="18.1640625" style="141" customWidth="1"/>
    <col min="8716" max="8716" width="17.5" style="141" customWidth="1"/>
    <col min="8717" max="8717" width="17.5" style="141" bestFit="1" customWidth="1"/>
    <col min="8718" max="8718" width="18" style="141" customWidth="1"/>
    <col min="8719" max="8719" width="32" style="141" customWidth="1"/>
    <col min="8720" max="8729" width="3.6640625" style="141" customWidth="1"/>
    <col min="8730" max="8960" width="8.6640625" style="141"/>
    <col min="8961" max="8961" width="5" style="141" customWidth="1"/>
    <col min="8962" max="8962" width="90" style="141" customWidth="1"/>
    <col min="8963" max="8963" width="40.6640625" style="141" customWidth="1"/>
    <col min="8964" max="8964" width="16.5" style="141" customWidth="1"/>
    <col min="8965" max="8965" width="19.33203125" style="141" customWidth="1"/>
    <col min="8966" max="8966" width="25.6640625" style="141" customWidth="1"/>
    <col min="8967" max="8967" width="32.6640625" style="141" customWidth="1"/>
    <col min="8968" max="8968" width="22.5" style="141" customWidth="1"/>
    <col min="8969" max="8971" width="18.1640625" style="141" customWidth="1"/>
    <col min="8972" max="8972" width="17.5" style="141" customWidth="1"/>
    <col min="8973" max="8973" width="17.5" style="141" bestFit="1" customWidth="1"/>
    <col min="8974" max="8974" width="18" style="141" customWidth="1"/>
    <col min="8975" max="8975" width="32" style="141" customWidth="1"/>
    <col min="8976" max="8985" width="3.6640625" style="141" customWidth="1"/>
    <col min="8986" max="9216" width="8.6640625" style="141"/>
    <col min="9217" max="9217" width="5" style="141" customWidth="1"/>
    <col min="9218" max="9218" width="90" style="141" customWidth="1"/>
    <col min="9219" max="9219" width="40.6640625" style="141" customWidth="1"/>
    <col min="9220" max="9220" width="16.5" style="141" customWidth="1"/>
    <col min="9221" max="9221" width="19.33203125" style="141" customWidth="1"/>
    <col min="9222" max="9222" width="25.6640625" style="141" customWidth="1"/>
    <col min="9223" max="9223" width="32.6640625" style="141" customWidth="1"/>
    <col min="9224" max="9224" width="22.5" style="141" customWidth="1"/>
    <col min="9225" max="9227" width="18.1640625" style="141" customWidth="1"/>
    <col min="9228" max="9228" width="17.5" style="141" customWidth="1"/>
    <col min="9229" max="9229" width="17.5" style="141" bestFit="1" customWidth="1"/>
    <col min="9230" max="9230" width="18" style="141" customWidth="1"/>
    <col min="9231" max="9231" width="32" style="141" customWidth="1"/>
    <col min="9232" max="9241" width="3.6640625" style="141" customWidth="1"/>
    <col min="9242" max="9472" width="8.6640625" style="141"/>
    <col min="9473" max="9473" width="5" style="141" customWidth="1"/>
    <col min="9474" max="9474" width="90" style="141" customWidth="1"/>
    <col min="9475" max="9475" width="40.6640625" style="141" customWidth="1"/>
    <col min="9476" max="9476" width="16.5" style="141" customWidth="1"/>
    <col min="9477" max="9477" width="19.33203125" style="141" customWidth="1"/>
    <col min="9478" max="9478" width="25.6640625" style="141" customWidth="1"/>
    <col min="9479" max="9479" width="32.6640625" style="141" customWidth="1"/>
    <col min="9480" max="9480" width="22.5" style="141" customWidth="1"/>
    <col min="9481" max="9483" width="18.1640625" style="141" customWidth="1"/>
    <col min="9484" max="9484" width="17.5" style="141" customWidth="1"/>
    <col min="9485" max="9485" width="17.5" style="141" bestFit="1" customWidth="1"/>
    <col min="9486" max="9486" width="18" style="141" customWidth="1"/>
    <col min="9487" max="9487" width="32" style="141" customWidth="1"/>
    <col min="9488" max="9497" width="3.6640625" style="141" customWidth="1"/>
    <col min="9498" max="9728" width="8.6640625" style="141"/>
    <col min="9729" max="9729" width="5" style="141" customWidth="1"/>
    <col min="9730" max="9730" width="90" style="141" customWidth="1"/>
    <col min="9731" max="9731" width="40.6640625" style="141" customWidth="1"/>
    <col min="9732" max="9732" width="16.5" style="141" customWidth="1"/>
    <col min="9733" max="9733" width="19.33203125" style="141" customWidth="1"/>
    <col min="9734" max="9734" width="25.6640625" style="141" customWidth="1"/>
    <col min="9735" max="9735" width="32.6640625" style="141" customWidth="1"/>
    <col min="9736" max="9736" width="22.5" style="141" customWidth="1"/>
    <col min="9737" max="9739" width="18.1640625" style="141" customWidth="1"/>
    <col min="9740" max="9740" width="17.5" style="141" customWidth="1"/>
    <col min="9741" max="9741" width="17.5" style="141" bestFit="1" customWidth="1"/>
    <col min="9742" max="9742" width="18" style="141" customWidth="1"/>
    <col min="9743" max="9743" width="32" style="141" customWidth="1"/>
    <col min="9744" max="9753" width="3.6640625" style="141" customWidth="1"/>
    <col min="9754" max="9984" width="8.6640625" style="141"/>
    <col min="9985" max="9985" width="5" style="141" customWidth="1"/>
    <col min="9986" max="9986" width="90" style="141" customWidth="1"/>
    <col min="9987" max="9987" width="40.6640625" style="141" customWidth="1"/>
    <col min="9988" max="9988" width="16.5" style="141" customWidth="1"/>
    <col min="9989" max="9989" width="19.33203125" style="141" customWidth="1"/>
    <col min="9990" max="9990" width="25.6640625" style="141" customWidth="1"/>
    <col min="9991" max="9991" width="32.6640625" style="141" customWidth="1"/>
    <col min="9992" max="9992" width="22.5" style="141" customWidth="1"/>
    <col min="9993" max="9995" width="18.1640625" style="141" customWidth="1"/>
    <col min="9996" max="9996" width="17.5" style="141" customWidth="1"/>
    <col min="9997" max="9997" width="17.5" style="141" bestFit="1" customWidth="1"/>
    <col min="9998" max="9998" width="18" style="141" customWidth="1"/>
    <col min="9999" max="9999" width="32" style="141" customWidth="1"/>
    <col min="10000" max="10009" width="3.6640625" style="141" customWidth="1"/>
    <col min="10010" max="10240" width="8.6640625" style="141"/>
    <col min="10241" max="10241" width="5" style="141" customWidth="1"/>
    <col min="10242" max="10242" width="90" style="141" customWidth="1"/>
    <col min="10243" max="10243" width="40.6640625" style="141" customWidth="1"/>
    <col min="10244" max="10244" width="16.5" style="141" customWidth="1"/>
    <col min="10245" max="10245" width="19.33203125" style="141" customWidth="1"/>
    <col min="10246" max="10246" width="25.6640625" style="141" customWidth="1"/>
    <col min="10247" max="10247" width="32.6640625" style="141" customWidth="1"/>
    <col min="10248" max="10248" width="22.5" style="141" customWidth="1"/>
    <col min="10249" max="10251" width="18.1640625" style="141" customWidth="1"/>
    <col min="10252" max="10252" width="17.5" style="141" customWidth="1"/>
    <col min="10253" max="10253" width="17.5" style="141" bestFit="1" customWidth="1"/>
    <col min="10254" max="10254" width="18" style="141" customWidth="1"/>
    <col min="10255" max="10255" width="32" style="141" customWidth="1"/>
    <col min="10256" max="10265" width="3.6640625" style="141" customWidth="1"/>
    <col min="10266" max="10496" width="8.6640625" style="141"/>
    <col min="10497" max="10497" width="5" style="141" customWidth="1"/>
    <col min="10498" max="10498" width="90" style="141" customWidth="1"/>
    <col min="10499" max="10499" width="40.6640625" style="141" customWidth="1"/>
    <col min="10500" max="10500" width="16.5" style="141" customWidth="1"/>
    <col min="10501" max="10501" width="19.33203125" style="141" customWidth="1"/>
    <col min="10502" max="10502" width="25.6640625" style="141" customWidth="1"/>
    <col min="10503" max="10503" width="32.6640625" style="141" customWidth="1"/>
    <col min="10504" max="10504" width="22.5" style="141" customWidth="1"/>
    <col min="10505" max="10507" width="18.1640625" style="141" customWidth="1"/>
    <col min="10508" max="10508" width="17.5" style="141" customWidth="1"/>
    <col min="10509" max="10509" width="17.5" style="141" bestFit="1" customWidth="1"/>
    <col min="10510" max="10510" width="18" style="141" customWidth="1"/>
    <col min="10511" max="10511" width="32" style="141" customWidth="1"/>
    <col min="10512" max="10521" width="3.6640625" style="141" customWidth="1"/>
    <col min="10522" max="10752" width="8.6640625" style="141"/>
    <col min="10753" max="10753" width="5" style="141" customWidth="1"/>
    <col min="10754" max="10754" width="90" style="141" customWidth="1"/>
    <col min="10755" max="10755" width="40.6640625" style="141" customWidth="1"/>
    <col min="10756" max="10756" width="16.5" style="141" customWidth="1"/>
    <col min="10757" max="10757" width="19.33203125" style="141" customWidth="1"/>
    <col min="10758" max="10758" width="25.6640625" style="141" customWidth="1"/>
    <col min="10759" max="10759" width="32.6640625" style="141" customWidth="1"/>
    <col min="10760" max="10760" width="22.5" style="141" customWidth="1"/>
    <col min="10761" max="10763" width="18.1640625" style="141" customWidth="1"/>
    <col min="10764" max="10764" width="17.5" style="141" customWidth="1"/>
    <col min="10765" max="10765" width="17.5" style="141" bestFit="1" customWidth="1"/>
    <col min="10766" max="10766" width="18" style="141" customWidth="1"/>
    <col min="10767" max="10767" width="32" style="141" customWidth="1"/>
    <col min="10768" max="10777" width="3.6640625" style="141" customWidth="1"/>
    <col min="10778" max="11008" width="8.6640625" style="141"/>
    <col min="11009" max="11009" width="5" style="141" customWidth="1"/>
    <col min="11010" max="11010" width="90" style="141" customWidth="1"/>
    <col min="11011" max="11011" width="40.6640625" style="141" customWidth="1"/>
    <col min="11012" max="11012" width="16.5" style="141" customWidth="1"/>
    <col min="11013" max="11013" width="19.33203125" style="141" customWidth="1"/>
    <col min="11014" max="11014" width="25.6640625" style="141" customWidth="1"/>
    <col min="11015" max="11015" width="32.6640625" style="141" customWidth="1"/>
    <col min="11016" max="11016" width="22.5" style="141" customWidth="1"/>
    <col min="11017" max="11019" width="18.1640625" style="141" customWidth="1"/>
    <col min="11020" max="11020" width="17.5" style="141" customWidth="1"/>
    <col min="11021" max="11021" width="17.5" style="141" bestFit="1" customWidth="1"/>
    <col min="11022" max="11022" width="18" style="141" customWidth="1"/>
    <col min="11023" max="11023" width="32" style="141" customWidth="1"/>
    <col min="11024" max="11033" width="3.6640625" style="141" customWidth="1"/>
    <col min="11034" max="11264" width="8.6640625" style="141"/>
    <col min="11265" max="11265" width="5" style="141" customWidth="1"/>
    <col min="11266" max="11266" width="90" style="141" customWidth="1"/>
    <col min="11267" max="11267" width="40.6640625" style="141" customWidth="1"/>
    <col min="11268" max="11268" width="16.5" style="141" customWidth="1"/>
    <col min="11269" max="11269" width="19.33203125" style="141" customWidth="1"/>
    <col min="11270" max="11270" width="25.6640625" style="141" customWidth="1"/>
    <col min="11271" max="11271" width="32.6640625" style="141" customWidth="1"/>
    <col min="11272" max="11272" width="22.5" style="141" customWidth="1"/>
    <col min="11273" max="11275" width="18.1640625" style="141" customWidth="1"/>
    <col min="11276" max="11276" width="17.5" style="141" customWidth="1"/>
    <col min="11277" max="11277" width="17.5" style="141" bestFit="1" customWidth="1"/>
    <col min="11278" max="11278" width="18" style="141" customWidth="1"/>
    <col min="11279" max="11279" width="32" style="141" customWidth="1"/>
    <col min="11280" max="11289" width="3.6640625" style="141" customWidth="1"/>
    <col min="11290" max="11520" width="8.6640625" style="141"/>
    <col min="11521" max="11521" width="5" style="141" customWidth="1"/>
    <col min="11522" max="11522" width="90" style="141" customWidth="1"/>
    <col min="11523" max="11523" width="40.6640625" style="141" customWidth="1"/>
    <col min="11524" max="11524" width="16.5" style="141" customWidth="1"/>
    <col min="11525" max="11525" width="19.33203125" style="141" customWidth="1"/>
    <col min="11526" max="11526" width="25.6640625" style="141" customWidth="1"/>
    <col min="11527" max="11527" width="32.6640625" style="141" customWidth="1"/>
    <col min="11528" max="11528" width="22.5" style="141" customWidth="1"/>
    <col min="11529" max="11531" width="18.1640625" style="141" customWidth="1"/>
    <col min="11532" max="11532" width="17.5" style="141" customWidth="1"/>
    <col min="11533" max="11533" width="17.5" style="141" bestFit="1" customWidth="1"/>
    <col min="11534" max="11534" width="18" style="141" customWidth="1"/>
    <col min="11535" max="11535" width="32" style="141" customWidth="1"/>
    <col min="11536" max="11545" width="3.6640625" style="141" customWidth="1"/>
    <col min="11546" max="11776" width="8.6640625" style="141"/>
    <col min="11777" max="11777" width="5" style="141" customWidth="1"/>
    <col min="11778" max="11778" width="90" style="141" customWidth="1"/>
    <col min="11779" max="11779" width="40.6640625" style="141" customWidth="1"/>
    <col min="11780" max="11780" width="16.5" style="141" customWidth="1"/>
    <col min="11781" max="11781" width="19.33203125" style="141" customWidth="1"/>
    <col min="11782" max="11782" width="25.6640625" style="141" customWidth="1"/>
    <col min="11783" max="11783" width="32.6640625" style="141" customWidth="1"/>
    <col min="11784" max="11784" width="22.5" style="141" customWidth="1"/>
    <col min="11785" max="11787" width="18.1640625" style="141" customWidth="1"/>
    <col min="11788" max="11788" width="17.5" style="141" customWidth="1"/>
    <col min="11789" max="11789" width="17.5" style="141" bestFit="1" customWidth="1"/>
    <col min="11790" max="11790" width="18" style="141" customWidth="1"/>
    <col min="11791" max="11791" width="32" style="141" customWidth="1"/>
    <col min="11792" max="11801" width="3.6640625" style="141" customWidth="1"/>
    <col min="11802" max="12032" width="8.6640625" style="141"/>
    <col min="12033" max="12033" width="5" style="141" customWidth="1"/>
    <col min="12034" max="12034" width="90" style="141" customWidth="1"/>
    <col min="12035" max="12035" width="40.6640625" style="141" customWidth="1"/>
    <col min="12036" max="12036" width="16.5" style="141" customWidth="1"/>
    <col min="12037" max="12037" width="19.33203125" style="141" customWidth="1"/>
    <col min="12038" max="12038" width="25.6640625" style="141" customWidth="1"/>
    <col min="12039" max="12039" width="32.6640625" style="141" customWidth="1"/>
    <col min="12040" max="12040" width="22.5" style="141" customWidth="1"/>
    <col min="12041" max="12043" width="18.1640625" style="141" customWidth="1"/>
    <col min="12044" max="12044" width="17.5" style="141" customWidth="1"/>
    <col min="12045" max="12045" width="17.5" style="141" bestFit="1" customWidth="1"/>
    <col min="12046" max="12046" width="18" style="141" customWidth="1"/>
    <col min="12047" max="12047" width="32" style="141" customWidth="1"/>
    <col min="12048" max="12057" width="3.6640625" style="141" customWidth="1"/>
    <col min="12058" max="12288" width="8.6640625" style="141"/>
    <col min="12289" max="12289" width="5" style="141" customWidth="1"/>
    <col min="12290" max="12290" width="90" style="141" customWidth="1"/>
    <col min="12291" max="12291" width="40.6640625" style="141" customWidth="1"/>
    <col min="12292" max="12292" width="16.5" style="141" customWidth="1"/>
    <col min="12293" max="12293" width="19.33203125" style="141" customWidth="1"/>
    <col min="12294" max="12294" width="25.6640625" style="141" customWidth="1"/>
    <col min="12295" max="12295" width="32.6640625" style="141" customWidth="1"/>
    <col min="12296" max="12296" width="22.5" style="141" customWidth="1"/>
    <col min="12297" max="12299" width="18.1640625" style="141" customWidth="1"/>
    <col min="12300" max="12300" width="17.5" style="141" customWidth="1"/>
    <col min="12301" max="12301" width="17.5" style="141" bestFit="1" customWidth="1"/>
    <col min="12302" max="12302" width="18" style="141" customWidth="1"/>
    <col min="12303" max="12303" width="32" style="141" customWidth="1"/>
    <col min="12304" max="12313" width="3.6640625" style="141" customWidth="1"/>
    <col min="12314" max="12544" width="8.6640625" style="141"/>
    <col min="12545" max="12545" width="5" style="141" customWidth="1"/>
    <col min="12546" max="12546" width="90" style="141" customWidth="1"/>
    <col min="12547" max="12547" width="40.6640625" style="141" customWidth="1"/>
    <col min="12548" max="12548" width="16.5" style="141" customWidth="1"/>
    <col min="12549" max="12549" width="19.33203125" style="141" customWidth="1"/>
    <col min="12550" max="12550" width="25.6640625" style="141" customWidth="1"/>
    <col min="12551" max="12551" width="32.6640625" style="141" customWidth="1"/>
    <col min="12552" max="12552" width="22.5" style="141" customWidth="1"/>
    <col min="12553" max="12555" width="18.1640625" style="141" customWidth="1"/>
    <col min="12556" max="12556" width="17.5" style="141" customWidth="1"/>
    <col min="12557" max="12557" width="17.5" style="141" bestFit="1" customWidth="1"/>
    <col min="12558" max="12558" width="18" style="141" customWidth="1"/>
    <col min="12559" max="12559" width="32" style="141" customWidth="1"/>
    <col min="12560" max="12569" width="3.6640625" style="141" customWidth="1"/>
    <col min="12570" max="12800" width="8.6640625" style="141"/>
    <col min="12801" max="12801" width="5" style="141" customWidth="1"/>
    <col min="12802" max="12802" width="90" style="141" customWidth="1"/>
    <col min="12803" max="12803" width="40.6640625" style="141" customWidth="1"/>
    <col min="12804" max="12804" width="16.5" style="141" customWidth="1"/>
    <col min="12805" max="12805" width="19.33203125" style="141" customWidth="1"/>
    <col min="12806" max="12806" width="25.6640625" style="141" customWidth="1"/>
    <col min="12807" max="12807" width="32.6640625" style="141" customWidth="1"/>
    <col min="12808" max="12808" width="22.5" style="141" customWidth="1"/>
    <col min="12809" max="12811" width="18.1640625" style="141" customWidth="1"/>
    <col min="12812" max="12812" width="17.5" style="141" customWidth="1"/>
    <col min="12813" max="12813" width="17.5" style="141" bestFit="1" customWidth="1"/>
    <col min="12814" max="12814" width="18" style="141" customWidth="1"/>
    <col min="12815" max="12815" width="32" style="141" customWidth="1"/>
    <col min="12816" max="12825" width="3.6640625" style="141" customWidth="1"/>
    <col min="12826" max="13056" width="8.6640625" style="141"/>
    <col min="13057" max="13057" width="5" style="141" customWidth="1"/>
    <col min="13058" max="13058" width="90" style="141" customWidth="1"/>
    <col min="13059" max="13059" width="40.6640625" style="141" customWidth="1"/>
    <col min="13060" max="13060" width="16.5" style="141" customWidth="1"/>
    <col min="13061" max="13061" width="19.33203125" style="141" customWidth="1"/>
    <col min="13062" max="13062" width="25.6640625" style="141" customWidth="1"/>
    <col min="13063" max="13063" width="32.6640625" style="141" customWidth="1"/>
    <col min="13064" max="13064" width="22.5" style="141" customWidth="1"/>
    <col min="13065" max="13067" width="18.1640625" style="141" customWidth="1"/>
    <col min="13068" max="13068" width="17.5" style="141" customWidth="1"/>
    <col min="13069" max="13069" width="17.5" style="141" bestFit="1" customWidth="1"/>
    <col min="13070" max="13070" width="18" style="141" customWidth="1"/>
    <col min="13071" max="13071" width="32" style="141" customWidth="1"/>
    <col min="13072" max="13081" width="3.6640625" style="141" customWidth="1"/>
    <col min="13082" max="13312" width="8.6640625" style="141"/>
    <col min="13313" max="13313" width="5" style="141" customWidth="1"/>
    <col min="13314" max="13314" width="90" style="141" customWidth="1"/>
    <col min="13315" max="13315" width="40.6640625" style="141" customWidth="1"/>
    <col min="13316" max="13316" width="16.5" style="141" customWidth="1"/>
    <col min="13317" max="13317" width="19.33203125" style="141" customWidth="1"/>
    <col min="13318" max="13318" width="25.6640625" style="141" customWidth="1"/>
    <col min="13319" max="13319" width="32.6640625" style="141" customWidth="1"/>
    <col min="13320" max="13320" width="22.5" style="141" customWidth="1"/>
    <col min="13321" max="13323" width="18.1640625" style="141" customWidth="1"/>
    <col min="13324" max="13324" width="17.5" style="141" customWidth="1"/>
    <col min="13325" max="13325" width="17.5" style="141" bestFit="1" customWidth="1"/>
    <col min="13326" max="13326" width="18" style="141" customWidth="1"/>
    <col min="13327" max="13327" width="32" style="141" customWidth="1"/>
    <col min="13328" max="13337" width="3.6640625" style="141" customWidth="1"/>
    <col min="13338" max="13568" width="8.6640625" style="141"/>
    <col min="13569" max="13569" width="5" style="141" customWidth="1"/>
    <col min="13570" max="13570" width="90" style="141" customWidth="1"/>
    <col min="13571" max="13571" width="40.6640625" style="141" customWidth="1"/>
    <col min="13572" max="13572" width="16.5" style="141" customWidth="1"/>
    <col min="13573" max="13573" width="19.33203125" style="141" customWidth="1"/>
    <col min="13574" max="13574" width="25.6640625" style="141" customWidth="1"/>
    <col min="13575" max="13575" width="32.6640625" style="141" customWidth="1"/>
    <col min="13576" max="13576" width="22.5" style="141" customWidth="1"/>
    <col min="13577" max="13579" width="18.1640625" style="141" customWidth="1"/>
    <col min="13580" max="13580" width="17.5" style="141" customWidth="1"/>
    <col min="13581" max="13581" width="17.5" style="141" bestFit="1" customWidth="1"/>
    <col min="13582" max="13582" width="18" style="141" customWidth="1"/>
    <col min="13583" max="13583" width="32" style="141" customWidth="1"/>
    <col min="13584" max="13593" width="3.6640625" style="141" customWidth="1"/>
    <col min="13594" max="13824" width="8.6640625" style="141"/>
    <col min="13825" max="13825" width="5" style="141" customWidth="1"/>
    <col min="13826" max="13826" width="90" style="141" customWidth="1"/>
    <col min="13827" max="13827" width="40.6640625" style="141" customWidth="1"/>
    <col min="13828" max="13828" width="16.5" style="141" customWidth="1"/>
    <col min="13829" max="13829" width="19.33203125" style="141" customWidth="1"/>
    <col min="13830" max="13830" width="25.6640625" style="141" customWidth="1"/>
    <col min="13831" max="13831" width="32.6640625" style="141" customWidth="1"/>
    <col min="13832" max="13832" width="22.5" style="141" customWidth="1"/>
    <col min="13833" max="13835" width="18.1640625" style="141" customWidth="1"/>
    <col min="13836" max="13836" width="17.5" style="141" customWidth="1"/>
    <col min="13837" max="13837" width="17.5" style="141" bestFit="1" customWidth="1"/>
    <col min="13838" max="13838" width="18" style="141" customWidth="1"/>
    <col min="13839" max="13839" width="32" style="141" customWidth="1"/>
    <col min="13840" max="13849" width="3.6640625" style="141" customWidth="1"/>
    <col min="13850" max="14080" width="8.6640625" style="141"/>
    <col min="14081" max="14081" width="5" style="141" customWidth="1"/>
    <col min="14082" max="14082" width="90" style="141" customWidth="1"/>
    <col min="14083" max="14083" width="40.6640625" style="141" customWidth="1"/>
    <col min="14084" max="14084" width="16.5" style="141" customWidth="1"/>
    <col min="14085" max="14085" width="19.33203125" style="141" customWidth="1"/>
    <col min="14086" max="14086" width="25.6640625" style="141" customWidth="1"/>
    <col min="14087" max="14087" width="32.6640625" style="141" customWidth="1"/>
    <col min="14088" max="14088" width="22.5" style="141" customWidth="1"/>
    <col min="14089" max="14091" width="18.1640625" style="141" customWidth="1"/>
    <col min="14092" max="14092" width="17.5" style="141" customWidth="1"/>
    <col min="14093" max="14093" width="17.5" style="141" bestFit="1" customWidth="1"/>
    <col min="14094" max="14094" width="18" style="141" customWidth="1"/>
    <col min="14095" max="14095" width="32" style="141" customWidth="1"/>
    <col min="14096" max="14105" width="3.6640625" style="141" customWidth="1"/>
    <col min="14106" max="14336" width="8.6640625" style="141"/>
    <col min="14337" max="14337" width="5" style="141" customWidth="1"/>
    <col min="14338" max="14338" width="90" style="141" customWidth="1"/>
    <col min="14339" max="14339" width="40.6640625" style="141" customWidth="1"/>
    <col min="14340" max="14340" width="16.5" style="141" customWidth="1"/>
    <col min="14341" max="14341" width="19.33203125" style="141" customWidth="1"/>
    <col min="14342" max="14342" width="25.6640625" style="141" customWidth="1"/>
    <col min="14343" max="14343" width="32.6640625" style="141" customWidth="1"/>
    <col min="14344" max="14344" width="22.5" style="141" customWidth="1"/>
    <col min="14345" max="14347" width="18.1640625" style="141" customWidth="1"/>
    <col min="14348" max="14348" width="17.5" style="141" customWidth="1"/>
    <col min="14349" max="14349" width="17.5" style="141" bestFit="1" customWidth="1"/>
    <col min="14350" max="14350" width="18" style="141" customWidth="1"/>
    <col min="14351" max="14351" width="32" style="141" customWidth="1"/>
    <col min="14352" max="14361" width="3.6640625" style="141" customWidth="1"/>
    <col min="14362" max="14592" width="8.6640625" style="141"/>
    <col min="14593" max="14593" width="5" style="141" customWidth="1"/>
    <col min="14594" max="14594" width="90" style="141" customWidth="1"/>
    <col min="14595" max="14595" width="40.6640625" style="141" customWidth="1"/>
    <col min="14596" max="14596" width="16.5" style="141" customWidth="1"/>
    <col min="14597" max="14597" width="19.33203125" style="141" customWidth="1"/>
    <col min="14598" max="14598" width="25.6640625" style="141" customWidth="1"/>
    <col min="14599" max="14599" width="32.6640625" style="141" customWidth="1"/>
    <col min="14600" max="14600" width="22.5" style="141" customWidth="1"/>
    <col min="14601" max="14603" width="18.1640625" style="141" customWidth="1"/>
    <col min="14604" max="14604" width="17.5" style="141" customWidth="1"/>
    <col min="14605" max="14605" width="17.5" style="141" bestFit="1" customWidth="1"/>
    <col min="14606" max="14606" width="18" style="141" customWidth="1"/>
    <col min="14607" max="14607" width="32" style="141" customWidth="1"/>
    <col min="14608" max="14617" width="3.6640625" style="141" customWidth="1"/>
    <col min="14618" max="14848" width="8.6640625" style="141"/>
    <col min="14849" max="14849" width="5" style="141" customWidth="1"/>
    <col min="14850" max="14850" width="90" style="141" customWidth="1"/>
    <col min="14851" max="14851" width="40.6640625" style="141" customWidth="1"/>
    <col min="14852" max="14852" width="16.5" style="141" customWidth="1"/>
    <col min="14853" max="14853" width="19.33203125" style="141" customWidth="1"/>
    <col min="14854" max="14854" width="25.6640625" style="141" customWidth="1"/>
    <col min="14855" max="14855" width="32.6640625" style="141" customWidth="1"/>
    <col min="14856" max="14856" width="22.5" style="141" customWidth="1"/>
    <col min="14857" max="14859" width="18.1640625" style="141" customWidth="1"/>
    <col min="14860" max="14860" width="17.5" style="141" customWidth="1"/>
    <col min="14861" max="14861" width="17.5" style="141" bestFit="1" customWidth="1"/>
    <col min="14862" max="14862" width="18" style="141" customWidth="1"/>
    <col min="14863" max="14863" width="32" style="141" customWidth="1"/>
    <col min="14864" max="14873" width="3.6640625" style="141" customWidth="1"/>
    <col min="14874" max="15104" width="8.6640625" style="141"/>
    <col min="15105" max="15105" width="5" style="141" customWidth="1"/>
    <col min="15106" max="15106" width="90" style="141" customWidth="1"/>
    <col min="15107" max="15107" width="40.6640625" style="141" customWidth="1"/>
    <col min="15108" max="15108" width="16.5" style="141" customWidth="1"/>
    <col min="15109" max="15109" width="19.33203125" style="141" customWidth="1"/>
    <col min="15110" max="15110" width="25.6640625" style="141" customWidth="1"/>
    <col min="15111" max="15111" width="32.6640625" style="141" customWidth="1"/>
    <col min="15112" max="15112" width="22.5" style="141" customWidth="1"/>
    <col min="15113" max="15115" width="18.1640625" style="141" customWidth="1"/>
    <col min="15116" max="15116" width="17.5" style="141" customWidth="1"/>
    <col min="15117" max="15117" width="17.5" style="141" bestFit="1" customWidth="1"/>
    <col min="15118" max="15118" width="18" style="141" customWidth="1"/>
    <col min="15119" max="15119" width="32" style="141" customWidth="1"/>
    <col min="15120" max="15129" width="3.6640625" style="141" customWidth="1"/>
    <col min="15130" max="15360" width="8.6640625" style="141"/>
    <col min="15361" max="15361" width="5" style="141" customWidth="1"/>
    <col min="15362" max="15362" width="90" style="141" customWidth="1"/>
    <col min="15363" max="15363" width="40.6640625" style="141" customWidth="1"/>
    <col min="15364" max="15364" width="16.5" style="141" customWidth="1"/>
    <col min="15365" max="15365" width="19.33203125" style="141" customWidth="1"/>
    <col min="15366" max="15366" width="25.6640625" style="141" customWidth="1"/>
    <col min="15367" max="15367" width="32.6640625" style="141" customWidth="1"/>
    <col min="15368" max="15368" width="22.5" style="141" customWidth="1"/>
    <col min="15369" max="15371" width="18.1640625" style="141" customWidth="1"/>
    <col min="15372" max="15372" width="17.5" style="141" customWidth="1"/>
    <col min="15373" max="15373" width="17.5" style="141" bestFit="1" customWidth="1"/>
    <col min="15374" max="15374" width="18" style="141" customWidth="1"/>
    <col min="15375" max="15375" width="32" style="141" customWidth="1"/>
    <col min="15376" max="15385" width="3.6640625" style="141" customWidth="1"/>
    <col min="15386" max="15616" width="8.6640625" style="141"/>
    <col min="15617" max="15617" width="5" style="141" customWidth="1"/>
    <col min="15618" max="15618" width="90" style="141" customWidth="1"/>
    <col min="15619" max="15619" width="40.6640625" style="141" customWidth="1"/>
    <col min="15620" max="15620" width="16.5" style="141" customWidth="1"/>
    <col min="15621" max="15621" width="19.33203125" style="141" customWidth="1"/>
    <col min="15622" max="15622" width="25.6640625" style="141" customWidth="1"/>
    <col min="15623" max="15623" width="32.6640625" style="141" customWidth="1"/>
    <col min="15624" max="15624" width="22.5" style="141" customWidth="1"/>
    <col min="15625" max="15627" width="18.1640625" style="141" customWidth="1"/>
    <col min="15628" max="15628" width="17.5" style="141" customWidth="1"/>
    <col min="15629" max="15629" width="17.5" style="141" bestFit="1" customWidth="1"/>
    <col min="15630" max="15630" width="18" style="141" customWidth="1"/>
    <col min="15631" max="15631" width="32" style="141" customWidth="1"/>
    <col min="15632" max="15641" width="3.6640625" style="141" customWidth="1"/>
    <col min="15642" max="15872" width="8.6640625" style="141"/>
    <col min="15873" max="15873" width="5" style="141" customWidth="1"/>
    <col min="15874" max="15874" width="90" style="141" customWidth="1"/>
    <col min="15875" max="15875" width="40.6640625" style="141" customWidth="1"/>
    <col min="15876" max="15876" width="16.5" style="141" customWidth="1"/>
    <col min="15877" max="15877" width="19.33203125" style="141" customWidth="1"/>
    <col min="15878" max="15878" width="25.6640625" style="141" customWidth="1"/>
    <col min="15879" max="15879" width="32.6640625" style="141" customWidth="1"/>
    <col min="15880" max="15880" width="22.5" style="141" customWidth="1"/>
    <col min="15881" max="15883" width="18.1640625" style="141" customWidth="1"/>
    <col min="15884" max="15884" width="17.5" style="141" customWidth="1"/>
    <col min="15885" max="15885" width="17.5" style="141" bestFit="1" customWidth="1"/>
    <col min="15886" max="15886" width="18" style="141" customWidth="1"/>
    <col min="15887" max="15887" width="32" style="141" customWidth="1"/>
    <col min="15888" max="15897" width="3.6640625" style="141" customWidth="1"/>
    <col min="15898" max="16128" width="8.6640625" style="141"/>
    <col min="16129" max="16129" width="5" style="141" customWidth="1"/>
    <col min="16130" max="16130" width="90" style="141" customWidth="1"/>
    <col min="16131" max="16131" width="40.6640625" style="141" customWidth="1"/>
    <col min="16132" max="16132" width="16.5" style="141" customWidth="1"/>
    <col min="16133" max="16133" width="19.33203125" style="141" customWidth="1"/>
    <col min="16134" max="16134" width="25.6640625" style="141" customWidth="1"/>
    <col min="16135" max="16135" width="32.6640625" style="141" customWidth="1"/>
    <col min="16136" max="16136" width="22.5" style="141" customWidth="1"/>
    <col min="16137" max="16139" width="18.1640625" style="141" customWidth="1"/>
    <col min="16140" max="16140" width="17.5" style="141" customWidth="1"/>
    <col min="16141" max="16141" width="17.5" style="141" bestFit="1" customWidth="1"/>
    <col min="16142" max="16142" width="18" style="141" customWidth="1"/>
    <col min="16143" max="16143" width="32" style="141" customWidth="1"/>
    <col min="16144" max="16153" width="3.6640625" style="141" customWidth="1"/>
    <col min="16154" max="16384" width="8.6640625" style="141"/>
  </cols>
  <sheetData>
    <row r="1" spans="2:14" ht="15" customHeight="1">
      <c r="E1" s="142"/>
      <c r="F1" s="141" t="s">
        <v>68</v>
      </c>
      <c r="G1" s="1638" t="e" vm="5">
        <v>#VALUE!</v>
      </c>
    </row>
    <row r="2" spans="2:14" ht="15" customHeight="1">
      <c r="B2" s="144" t="s">
        <v>569</v>
      </c>
      <c r="E2" s="145"/>
      <c r="F2" s="141" t="s">
        <v>69</v>
      </c>
      <c r="G2" s="1638"/>
    </row>
    <row r="3" spans="2:14" ht="15" customHeight="1" thickBot="1"/>
    <row r="4" spans="2:14" ht="30" customHeight="1">
      <c r="B4" s="1436" t="s">
        <v>2</v>
      </c>
      <c r="C4" s="1437"/>
      <c r="D4" s="1437"/>
      <c r="E4" s="1437"/>
      <c r="F4" s="1437"/>
      <c r="G4" s="1438"/>
    </row>
    <row r="5" spans="2:14" ht="15" customHeight="1">
      <c r="B5" s="1439" t="s">
        <v>358</v>
      </c>
      <c r="C5" s="1440"/>
      <c r="D5" s="1440"/>
      <c r="E5" s="1440"/>
      <c r="F5" s="1440"/>
      <c r="G5" s="1441"/>
    </row>
    <row r="6" spans="2:14" ht="15" customHeight="1">
      <c r="B6" s="1442"/>
      <c r="C6" s="1443"/>
      <c r="D6" s="1443"/>
      <c r="E6" s="1443"/>
      <c r="F6" s="1443"/>
      <c r="G6" s="1444"/>
    </row>
    <row r="7" spans="2:14" ht="15" customHeight="1" thickBot="1">
      <c r="B7" s="1445"/>
      <c r="C7" s="1446"/>
      <c r="D7" s="1446"/>
      <c r="E7" s="1446"/>
      <c r="F7" s="1446"/>
      <c r="G7" s="1447"/>
    </row>
    <row r="8" spans="2:14" ht="20" customHeight="1" thickBot="1">
      <c r="B8" s="146"/>
      <c r="C8" s="146"/>
      <c r="D8" s="146"/>
      <c r="E8" s="146"/>
      <c r="F8" s="146"/>
      <c r="G8" s="146"/>
    </row>
    <row r="9" spans="2:14" ht="15" customHeight="1">
      <c r="B9" s="1448" t="s">
        <v>71</v>
      </c>
      <c r="C9" s="1449"/>
      <c r="D9" s="1449"/>
      <c r="E9" s="1449"/>
      <c r="F9" s="1449"/>
      <c r="G9" s="1450"/>
    </row>
    <row r="10" spans="2:14" ht="15" customHeight="1" thickBot="1">
      <c r="B10" s="1451"/>
      <c r="C10" s="1452"/>
      <c r="D10" s="1452"/>
      <c r="E10" s="1452"/>
      <c r="F10" s="1452"/>
      <c r="G10" s="1453"/>
      <c r="I10" s="147"/>
      <c r="J10" s="147"/>
      <c r="K10" s="147"/>
      <c r="L10" s="147"/>
      <c r="M10" s="148"/>
      <c r="N10" s="149"/>
    </row>
    <row r="11" spans="2:14" ht="20" customHeight="1" thickBot="1">
      <c r="B11" s="150"/>
      <c r="C11" s="151"/>
      <c r="D11" s="151"/>
      <c r="E11" s="151"/>
      <c r="F11" s="151"/>
      <c r="G11" s="151"/>
      <c r="I11" s="152"/>
      <c r="J11" s="152"/>
      <c r="K11" s="152"/>
      <c r="L11" s="152"/>
      <c r="M11" s="153"/>
      <c r="N11" s="154"/>
    </row>
    <row r="12" spans="2:14" ht="15" customHeight="1" thickBot="1">
      <c r="B12" s="155" t="s">
        <v>72</v>
      </c>
      <c r="C12" s="156"/>
      <c r="D12" s="157" t="s">
        <v>73</v>
      </c>
      <c r="E12" s="158"/>
      <c r="F12" s="159"/>
      <c r="G12" s="160"/>
      <c r="I12" s="152"/>
      <c r="J12" s="152"/>
      <c r="K12" s="152"/>
      <c r="L12" s="152"/>
      <c r="M12" s="153"/>
      <c r="N12" s="154"/>
    </row>
    <row r="13" spans="2:14" ht="15" customHeight="1" thickBot="1">
      <c r="B13" s="161"/>
      <c r="C13" s="162"/>
      <c r="D13" s="162"/>
      <c r="E13" s="163"/>
      <c r="F13" s="164"/>
      <c r="G13" s="164"/>
      <c r="H13" s="141" t="s">
        <v>3</v>
      </c>
      <c r="I13" s="152" t="s">
        <v>3</v>
      </c>
      <c r="J13" s="152"/>
      <c r="K13" s="152"/>
      <c r="L13" s="152"/>
      <c r="M13" s="153"/>
      <c r="N13" s="154"/>
    </row>
    <row r="14" spans="2:14" ht="15" customHeight="1">
      <c r="B14" s="165" t="s">
        <v>74</v>
      </c>
      <c r="C14" s="166">
        <f>C16</f>
        <v>15535</v>
      </c>
      <c r="D14" s="167" t="s">
        <v>73</v>
      </c>
      <c r="E14" s="168"/>
      <c r="F14" s="169"/>
      <c r="G14" s="170"/>
      <c r="I14" s="152"/>
      <c r="J14" s="152"/>
      <c r="K14" s="152"/>
      <c r="L14" s="152"/>
      <c r="M14" s="153"/>
      <c r="N14" s="154"/>
    </row>
    <row r="15" spans="2:14" ht="15" customHeight="1">
      <c r="B15" s="171" t="s">
        <v>75</v>
      </c>
      <c r="C15" s="172"/>
      <c r="D15" s="173"/>
      <c r="E15" s="174"/>
      <c r="F15" s="175"/>
      <c r="G15" s="176"/>
      <c r="I15" s="152"/>
      <c r="J15" s="152"/>
      <c r="K15" s="152"/>
      <c r="L15" s="152"/>
      <c r="M15" s="153"/>
      <c r="N15" s="154"/>
    </row>
    <row r="16" spans="2:14" ht="15" customHeight="1">
      <c r="B16" s="177" t="s">
        <v>76</v>
      </c>
      <c r="C16" s="178">
        <v>15535</v>
      </c>
      <c r="D16" s="179" t="s">
        <v>73</v>
      </c>
      <c r="E16" s="180"/>
      <c r="F16" s="181"/>
      <c r="G16" s="182"/>
      <c r="I16" s="152"/>
      <c r="J16" s="152"/>
      <c r="K16" s="152"/>
      <c r="L16" s="152"/>
      <c r="M16" s="153"/>
      <c r="N16" s="154"/>
    </row>
    <row r="17" spans="2:14" ht="15" customHeight="1" thickBot="1">
      <c r="B17" s="183" t="s">
        <v>77</v>
      </c>
      <c r="C17" s="184">
        <v>3543</v>
      </c>
      <c r="D17" s="185" t="s">
        <v>73</v>
      </c>
      <c r="E17" s="1059" t="s">
        <v>3</v>
      </c>
      <c r="F17" s="187"/>
      <c r="G17" s="188"/>
      <c r="I17" s="152"/>
      <c r="J17" s="152"/>
      <c r="K17" s="152"/>
      <c r="L17" s="152"/>
      <c r="M17" s="153"/>
      <c r="N17" s="154"/>
    </row>
    <row r="18" spans="2:14" ht="15" customHeight="1" thickBot="1">
      <c r="B18" s="189"/>
      <c r="C18" s="151"/>
      <c r="D18" s="151"/>
      <c r="E18" s="190"/>
      <c r="I18" s="152"/>
      <c r="J18" s="152"/>
      <c r="K18" s="152"/>
      <c r="L18" s="152"/>
      <c r="M18" s="153"/>
      <c r="N18" s="154"/>
    </row>
    <row r="19" spans="2:14" ht="15" customHeight="1">
      <c r="B19" s="191" t="s">
        <v>79</v>
      </c>
      <c r="C19" s="1060">
        <f>C21+C22</f>
        <v>71869.5</v>
      </c>
      <c r="D19" s="193"/>
      <c r="E19" s="194"/>
      <c r="F19" s="195"/>
      <c r="G19" s="196" t="s">
        <v>80</v>
      </c>
      <c r="I19" s="1476" t="s">
        <v>530</v>
      </c>
      <c r="J19" s="1477"/>
      <c r="K19" s="1477"/>
      <c r="L19" s="1478"/>
      <c r="M19" s="153"/>
      <c r="N19" s="154"/>
    </row>
    <row r="20" spans="2:14" ht="15" customHeight="1">
      <c r="B20" s="171" t="s">
        <v>75</v>
      </c>
      <c r="C20" s="197"/>
      <c r="D20" s="197"/>
      <c r="E20" s="198"/>
      <c r="F20" s="199"/>
      <c r="G20" s="182"/>
      <c r="I20" s="1479"/>
      <c r="J20" s="1480"/>
      <c r="K20" s="1480"/>
      <c r="L20" s="1481"/>
      <c r="M20" s="1401"/>
      <c r="N20" s="154"/>
    </row>
    <row r="21" spans="2:14" ht="15" customHeight="1" thickBot="1">
      <c r="B21" s="177" t="s">
        <v>76</v>
      </c>
      <c r="C21" s="200">
        <f>C16*G21</f>
        <v>55926</v>
      </c>
      <c r="D21" s="179" t="s">
        <v>81</v>
      </c>
      <c r="E21" s="180"/>
      <c r="F21" s="201"/>
      <c r="G21" s="202">
        <v>3.6</v>
      </c>
      <c r="I21" s="220"/>
      <c r="J21" s="220"/>
      <c r="K21" s="220"/>
      <c r="L21" s="220"/>
      <c r="M21" s="1402"/>
      <c r="N21" s="154"/>
    </row>
    <row r="22" spans="2:14" ht="15" customHeight="1" thickBot="1">
      <c r="B22" s="183" t="s">
        <v>77</v>
      </c>
      <c r="C22" s="203">
        <f>(C17*G22)/2*3</f>
        <v>15943.5</v>
      </c>
      <c r="D22" s="185" t="s">
        <v>81</v>
      </c>
      <c r="E22" s="204" t="s">
        <v>78</v>
      </c>
      <c r="F22" s="205"/>
      <c r="G22" s="206">
        <v>3</v>
      </c>
      <c r="I22" s="1482" t="s">
        <v>542</v>
      </c>
      <c r="J22" s="1483"/>
      <c r="K22" s="1398" t="s">
        <v>544</v>
      </c>
      <c r="L22" s="1400">
        <f>G302</f>
        <v>1622778371.0617065</v>
      </c>
      <c r="M22" s="1402"/>
      <c r="N22" s="154"/>
    </row>
    <row r="23" spans="2:14" ht="15" customHeight="1" thickBot="1">
      <c r="B23" s="207"/>
      <c r="C23" s="208"/>
      <c r="D23" s="209"/>
      <c r="E23" s="208"/>
      <c r="F23" s="210"/>
      <c r="M23" s="1402"/>
      <c r="N23" s="154"/>
    </row>
    <row r="24" spans="2:14" ht="15" customHeight="1" thickBot="1">
      <c r="B24" s="191" t="s">
        <v>82</v>
      </c>
      <c r="C24" s="211" t="s">
        <v>83</v>
      </c>
      <c r="D24" s="212"/>
      <c r="E24" s="213"/>
      <c r="F24" s="214" t="s">
        <v>84</v>
      </c>
      <c r="G24" s="215" t="s">
        <v>85</v>
      </c>
      <c r="H24" s="149"/>
      <c r="I24" s="1482" t="s">
        <v>543</v>
      </c>
      <c r="J24" s="1483"/>
      <c r="K24" s="1398"/>
      <c r="L24" s="1399">
        <f>G268</f>
        <v>1445035777.8301017</v>
      </c>
      <c r="M24" s="1402"/>
      <c r="N24" s="154"/>
    </row>
    <row r="25" spans="2:14" ht="15" customHeight="1">
      <c r="B25" s="177" t="s">
        <v>359</v>
      </c>
      <c r="C25" s="216">
        <f>14259-1407</f>
        <v>12852</v>
      </c>
      <c r="D25" s="179" t="s">
        <v>73</v>
      </c>
      <c r="E25" s="217"/>
      <c r="F25" s="1454">
        <f>C14</f>
        <v>15535</v>
      </c>
      <c r="G25" s="1457">
        <f>(C25+C28)/F25</f>
        <v>0.91786289024782752</v>
      </c>
      <c r="H25" s="219"/>
      <c r="M25" s="1402"/>
      <c r="N25" s="154"/>
    </row>
    <row r="26" spans="2:14" ht="15" customHeight="1">
      <c r="B26" s="177" t="s">
        <v>86</v>
      </c>
      <c r="C26" s="216">
        <v>0</v>
      </c>
      <c r="D26" s="179"/>
      <c r="E26" s="180"/>
      <c r="F26" s="1455"/>
      <c r="G26" s="1458"/>
      <c r="H26" s="219"/>
      <c r="M26" s="1404" t="s">
        <v>550</v>
      </c>
      <c r="N26" s="154"/>
    </row>
    <row r="27" spans="2:14" ht="15" customHeight="1">
      <c r="B27" s="177" t="s">
        <v>86</v>
      </c>
      <c r="C27" s="216">
        <v>0</v>
      </c>
      <c r="D27" s="179" t="s">
        <v>73</v>
      </c>
      <c r="E27" s="217"/>
      <c r="F27" s="1455"/>
      <c r="G27" s="1458"/>
      <c r="H27" s="219"/>
      <c r="I27" s="1433" t="s">
        <v>545</v>
      </c>
      <c r="J27" s="1434"/>
      <c r="K27" s="1395" t="s">
        <v>538</v>
      </c>
      <c r="L27" s="1397">
        <f>G80</f>
        <v>441300000</v>
      </c>
      <c r="M27" s="1403">
        <f>L27/L22</f>
        <v>0.27194101663511722</v>
      </c>
      <c r="N27" s="154"/>
    </row>
    <row r="28" spans="2:14" ht="15" customHeight="1">
      <c r="B28" s="177" t="s">
        <v>87</v>
      </c>
      <c r="C28" s="216">
        <v>1407</v>
      </c>
      <c r="D28" s="179" t="s">
        <v>73</v>
      </c>
      <c r="E28" s="180"/>
      <c r="F28" s="1456"/>
      <c r="G28" s="1459"/>
      <c r="I28" s="152"/>
      <c r="J28" s="152"/>
      <c r="K28" s="152"/>
      <c r="L28" s="152"/>
      <c r="M28" s="1402"/>
      <c r="N28" s="154"/>
    </row>
    <row r="29" spans="2:14" ht="15" customHeight="1">
      <c r="B29" s="177" t="s">
        <v>88</v>
      </c>
      <c r="C29" s="216">
        <v>0</v>
      </c>
      <c r="D29" s="179" t="s">
        <v>73</v>
      </c>
      <c r="E29" s="217"/>
      <c r="F29" s="180"/>
      <c r="G29" s="223"/>
      <c r="I29" s="1424" t="s">
        <v>532</v>
      </c>
      <c r="J29" s="1425"/>
      <c r="K29" s="1389" t="s">
        <v>538</v>
      </c>
      <c r="L29" s="1391">
        <f>G196</f>
        <v>868212649.484375</v>
      </c>
      <c r="M29" s="1430">
        <f>L31/L22</f>
        <v>0.54309004340661537</v>
      </c>
    </row>
    <row r="30" spans="2:14" ht="15" customHeight="1">
      <c r="B30" s="177" t="s">
        <v>89</v>
      </c>
      <c r="C30" s="216">
        <v>0</v>
      </c>
      <c r="D30" s="179" t="s">
        <v>73</v>
      </c>
      <c r="E30" s="224"/>
      <c r="F30" s="180"/>
      <c r="G30" s="223"/>
      <c r="I30" s="1426"/>
      <c r="J30" s="1427"/>
      <c r="K30" s="1390" t="s">
        <v>535</v>
      </c>
      <c r="L30" s="1392">
        <f>G211</f>
        <v>13102126.494843749</v>
      </c>
      <c r="M30" s="1431"/>
    </row>
    <row r="31" spans="2:14" ht="15" customHeight="1">
      <c r="B31" s="177" t="s">
        <v>90</v>
      </c>
      <c r="C31" s="216">
        <v>0</v>
      </c>
      <c r="D31" s="179" t="s">
        <v>91</v>
      </c>
      <c r="E31" s="217"/>
      <c r="F31" s="225"/>
      <c r="G31" s="226"/>
      <c r="I31" s="1428"/>
      <c r="J31" s="1429"/>
      <c r="K31" s="1396" t="s">
        <v>214</v>
      </c>
      <c r="L31" s="1397">
        <f>SUM(L29:L30)</f>
        <v>881314775.97921872</v>
      </c>
      <c r="M31" s="1432"/>
    </row>
    <row r="32" spans="2:14" ht="15" customHeight="1">
      <c r="B32" s="177" t="s">
        <v>92</v>
      </c>
      <c r="C32" s="216">
        <v>0</v>
      </c>
      <c r="D32" s="179" t="s">
        <v>91</v>
      </c>
      <c r="E32" s="180"/>
      <c r="F32" s="225"/>
      <c r="G32" s="226"/>
      <c r="M32" s="1402"/>
    </row>
    <row r="33" spans="2:13" ht="15" customHeight="1">
      <c r="B33" s="177" t="s">
        <v>93</v>
      </c>
      <c r="C33" s="216">
        <v>78</v>
      </c>
      <c r="D33" s="179" t="s">
        <v>91</v>
      </c>
      <c r="E33" s="217"/>
      <c r="F33" s="225"/>
      <c r="G33" s="227"/>
      <c r="H33" s="219"/>
      <c r="I33" s="1424" t="s">
        <v>533</v>
      </c>
      <c r="J33" s="1425"/>
      <c r="K33" s="1389" t="s">
        <v>534</v>
      </c>
      <c r="L33" s="1391">
        <f>G137</f>
        <v>38100000</v>
      </c>
      <c r="M33" s="1430">
        <f>L40/L22</f>
        <v>7.5439138229818042E-2</v>
      </c>
    </row>
    <row r="34" spans="2:13" ht="15" customHeight="1">
      <c r="B34" s="177" t="s">
        <v>95</v>
      </c>
      <c r="C34" s="216">
        <v>0</v>
      </c>
      <c r="D34" s="179" t="s">
        <v>91</v>
      </c>
      <c r="E34" s="228"/>
      <c r="F34" s="224"/>
      <c r="G34" s="229"/>
      <c r="H34" s="219"/>
      <c r="I34" s="1426"/>
      <c r="J34" s="1427"/>
      <c r="K34" s="1393" t="s">
        <v>547</v>
      </c>
      <c r="L34" s="1394">
        <f>G91</f>
        <v>7767500</v>
      </c>
      <c r="M34" s="1431"/>
    </row>
    <row r="35" spans="2:13" ht="15" customHeight="1" thickBot="1">
      <c r="B35" s="183" t="s">
        <v>96</v>
      </c>
      <c r="C35" s="241">
        <f>C25+C28</f>
        <v>14259</v>
      </c>
      <c r="D35" s="185"/>
      <c r="E35" s="231"/>
      <c r="F35" s="232"/>
      <c r="G35" s="233"/>
      <c r="H35" s="219"/>
      <c r="I35" s="1426"/>
      <c r="J35" s="1427"/>
      <c r="K35" s="1393" t="s">
        <v>536</v>
      </c>
      <c r="L35" s="1394">
        <f>G221</f>
        <v>52441160.941792123</v>
      </c>
      <c r="M35" s="1431"/>
    </row>
    <row r="36" spans="2:13" ht="15" customHeight="1" thickBot="1">
      <c r="B36" s="207"/>
      <c r="C36" s="208"/>
      <c r="D36" s="209"/>
      <c r="E36" s="234"/>
      <c r="F36" s="234"/>
      <c r="G36" s="235"/>
      <c r="I36" s="1426"/>
      <c r="J36" s="1427"/>
      <c r="K36" s="1393" t="s">
        <v>546</v>
      </c>
      <c r="L36" s="1394">
        <f>G231</f>
        <v>4630000</v>
      </c>
      <c r="M36" s="1431"/>
    </row>
    <row r="37" spans="2:13" ht="15" customHeight="1">
      <c r="B37" s="191" t="s">
        <v>97</v>
      </c>
      <c r="C37" s="1460" t="s">
        <v>98</v>
      </c>
      <c r="D37" s="1460"/>
      <c r="E37" s="1460" t="s">
        <v>99</v>
      </c>
      <c r="F37" s="1460"/>
      <c r="G37" s="236" t="s">
        <v>100</v>
      </c>
      <c r="I37" s="1426"/>
      <c r="J37" s="1427"/>
      <c r="K37" s="1393" t="s">
        <v>548</v>
      </c>
      <c r="L37" s="1394">
        <f>G240</f>
        <v>0</v>
      </c>
      <c r="M37" s="1431"/>
    </row>
    <row r="38" spans="2:13" ht="15" customHeight="1">
      <c r="B38" s="177" t="s">
        <v>101</v>
      </c>
      <c r="C38" s="237"/>
      <c r="D38" s="179" t="s">
        <v>91</v>
      </c>
      <c r="E38" s="238" t="s">
        <v>3</v>
      </c>
      <c r="F38" s="179" t="s">
        <v>73</v>
      </c>
      <c r="G38" s="239"/>
      <c r="I38" s="1426"/>
      <c r="J38" s="1427"/>
      <c r="K38" s="1393" t="s">
        <v>539</v>
      </c>
      <c r="L38" s="1394">
        <f>G252</f>
        <v>19482340.90909091</v>
      </c>
      <c r="M38" s="1431"/>
    </row>
    <row r="39" spans="2:13" ht="15" customHeight="1">
      <c r="B39" s="177" t="s">
        <v>102</v>
      </c>
      <c r="C39" s="237"/>
      <c r="D39" s="179" t="s">
        <v>91</v>
      </c>
      <c r="E39" s="238" t="s">
        <v>3</v>
      </c>
      <c r="F39" s="179" t="s">
        <v>73</v>
      </c>
      <c r="G39" s="239"/>
      <c r="I39" s="1426"/>
      <c r="J39" s="1427"/>
      <c r="K39" s="1390" t="s">
        <v>549</v>
      </c>
      <c r="L39" s="1392">
        <f>G262</f>
        <v>0</v>
      </c>
      <c r="M39" s="1431"/>
    </row>
    <row r="40" spans="2:13" ht="15" customHeight="1">
      <c r="B40" s="177" t="s">
        <v>103</v>
      </c>
      <c r="C40" s="237"/>
      <c r="D40" s="179" t="s">
        <v>91</v>
      </c>
      <c r="E40" s="238" t="s">
        <v>3</v>
      </c>
      <c r="F40" s="179" t="s">
        <v>73</v>
      </c>
      <c r="G40" s="239"/>
      <c r="I40" s="1428"/>
      <c r="J40" s="1429"/>
      <c r="K40" s="1396" t="s">
        <v>214</v>
      </c>
      <c r="L40" s="1397">
        <f>SUM(L33:L39)</f>
        <v>122421001.85088304</v>
      </c>
      <c r="M40" s="1432"/>
    </row>
    <row r="41" spans="2:13" ht="15" customHeight="1">
      <c r="B41" s="177" t="s">
        <v>104</v>
      </c>
      <c r="C41" s="237"/>
      <c r="D41" s="179" t="s">
        <v>91</v>
      </c>
      <c r="E41" s="238" t="s">
        <v>3</v>
      </c>
      <c r="F41" s="179" t="s">
        <v>73</v>
      </c>
      <c r="G41" s="239"/>
      <c r="M41" s="1402"/>
    </row>
    <row r="42" spans="2:13" ht="15" customHeight="1" thickBot="1">
      <c r="B42" s="240" t="s">
        <v>105</v>
      </c>
      <c r="C42" s="241">
        <f>C38</f>
        <v>0</v>
      </c>
      <c r="D42" s="185" t="s">
        <v>91</v>
      </c>
      <c r="E42" s="242">
        <v>0</v>
      </c>
      <c r="F42" s="231" t="s">
        <v>73</v>
      </c>
      <c r="G42" s="243"/>
      <c r="I42" s="1424" t="s">
        <v>540</v>
      </c>
      <c r="J42" s="1425"/>
      <c r="K42" s="1389" t="s">
        <v>541</v>
      </c>
      <c r="L42" s="1391">
        <f>G282</f>
        <v>168662593.2316049</v>
      </c>
      <c r="M42" s="1430">
        <f>L44/L22</f>
        <v>0.10952980172844946</v>
      </c>
    </row>
    <row r="43" spans="2:13" ht="15" customHeight="1">
      <c r="B43" s="207"/>
      <c r="C43" s="208"/>
      <c r="D43" s="209"/>
      <c r="E43" s="234"/>
      <c r="F43" s="234"/>
      <c r="G43" s="235"/>
      <c r="I43" s="1426"/>
      <c r="J43" s="1427"/>
      <c r="K43" s="1390" t="s">
        <v>537</v>
      </c>
      <c r="L43" s="1392">
        <f>G296</f>
        <v>9080000</v>
      </c>
      <c r="M43" s="1431"/>
    </row>
    <row r="44" spans="2:13" ht="15" customHeight="1" thickBot="1">
      <c r="I44" s="1428"/>
      <c r="J44" s="1429"/>
      <c r="K44" s="1396" t="s">
        <v>214</v>
      </c>
      <c r="L44" s="1397">
        <f>SUM(L42:L43)</f>
        <v>177742593.2316049</v>
      </c>
      <c r="M44" s="1432"/>
    </row>
    <row r="45" spans="2:13" ht="15" customHeight="1">
      <c r="B45" s="244" t="s">
        <v>106</v>
      </c>
      <c r="C45" s="245" t="s">
        <v>107</v>
      </c>
      <c r="D45" s="246" t="s">
        <v>108</v>
      </c>
      <c r="E45" s="246" t="s">
        <v>109</v>
      </c>
      <c r="F45" s="246" t="s">
        <v>110</v>
      </c>
      <c r="G45" s="247" t="s">
        <v>111</v>
      </c>
    </row>
    <row r="46" spans="2:13" ht="15" customHeight="1">
      <c r="B46" s="248" t="s">
        <v>112</v>
      </c>
      <c r="C46" s="249" t="s">
        <v>3</v>
      </c>
      <c r="D46" s="250">
        <v>3</v>
      </c>
      <c r="E46" s="251">
        <f>D46/12</f>
        <v>0.25</v>
      </c>
      <c r="F46" s="251">
        <f>E46</f>
        <v>0.25</v>
      </c>
      <c r="G46" s="252"/>
    </row>
    <row r="47" spans="2:13" ht="15" customHeight="1">
      <c r="B47" s="253" t="s">
        <v>113</v>
      </c>
      <c r="C47" s="254" t="s">
        <v>3</v>
      </c>
      <c r="D47" s="255"/>
      <c r="E47" s="256">
        <f t="shared" ref="E47:E54" si="0">D47/12</f>
        <v>0</v>
      </c>
      <c r="F47" s="256">
        <f>E47+F46</f>
        <v>0.25</v>
      </c>
      <c r="G47" s="257"/>
    </row>
    <row r="48" spans="2:13" ht="15" customHeight="1">
      <c r="B48" s="253" t="s">
        <v>114</v>
      </c>
      <c r="C48" s="254" t="s">
        <v>3</v>
      </c>
      <c r="D48" s="237">
        <v>0</v>
      </c>
      <c r="E48" s="256">
        <f t="shared" si="0"/>
        <v>0</v>
      </c>
      <c r="F48" s="256">
        <f t="shared" ref="F48:F54" si="1">E48+F47</f>
        <v>0.25</v>
      </c>
      <c r="G48" s="257"/>
    </row>
    <row r="49" spans="2:14" ht="15" customHeight="1">
      <c r="B49" s="253" t="s">
        <v>115</v>
      </c>
      <c r="C49" s="254"/>
      <c r="D49" s="237">
        <v>0</v>
      </c>
      <c r="E49" s="256">
        <f>+D49/12</f>
        <v>0</v>
      </c>
      <c r="F49" s="256">
        <f t="shared" si="1"/>
        <v>0.25</v>
      </c>
      <c r="G49" s="257"/>
    </row>
    <row r="50" spans="2:14" ht="15" customHeight="1">
      <c r="B50" s="253" t="s">
        <v>116</v>
      </c>
      <c r="C50" s="254"/>
      <c r="D50" s="237">
        <v>0</v>
      </c>
      <c r="E50" s="256">
        <f t="shared" si="0"/>
        <v>0</v>
      </c>
      <c r="F50" s="256">
        <f t="shared" si="1"/>
        <v>0.25</v>
      </c>
      <c r="G50" s="257"/>
    </row>
    <row r="51" spans="2:14" ht="15" customHeight="1">
      <c r="B51" s="253" t="s">
        <v>117</v>
      </c>
      <c r="C51" s="254"/>
      <c r="D51" s="237"/>
      <c r="E51" s="256">
        <f>D51/12</f>
        <v>0</v>
      </c>
      <c r="F51" s="256">
        <f t="shared" si="1"/>
        <v>0.25</v>
      </c>
      <c r="G51" s="257"/>
    </row>
    <row r="52" spans="2:14" ht="15" customHeight="1">
      <c r="B52" s="253" t="s">
        <v>118</v>
      </c>
      <c r="C52" s="258"/>
      <c r="D52" s="237">
        <v>6</v>
      </c>
      <c r="E52" s="256">
        <f t="shared" si="0"/>
        <v>0.5</v>
      </c>
      <c r="F52" s="256">
        <f t="shared" si="1"/>
        <v>0.75</v>
      </c>
      <c r="G52" s="257"/>
    </row>
    <row r="53" spans="2:14" ht="15" customHeight="1">
      <c r="B53" s="253" t="s">
        <v>119</v>
      </c>
      <c r="C53" s="258"/>
      <c r="D53" s="237">
        <v>24</v>
      </c>
      <c r="E53" s="256">
        <f t="shared" si="0"/>
        <v>2</v>
      </c>
      <c r="F53" s="256">
        <f t="shared" si="1"/>
        <v>2.75</v>
      </c>
      <c r="G53" s="257"/>
    </row>
    <row r="54" spans="2:14" ht="15" customHeight="1">
      <c r="B54" s="259" t="s">
        <v>120</v>
      </c>
      <c r="C54" s="260"/>
      <c r="D54" s="261">
        <v>3</v>
      </c>
      <c r="E54" s="262">
        <f t="shared" si="0"/>
        <v>0.25</v>
      </c>
      <c r="F54" s="262">
        <f t="shared" si="1"/>
        <v>3</v>
      </c>
      <c r="G54" s="263"/>
    </row>
    <row r="55" spans="2:14" ht="15" customHeight="1" thickBot="1">
      <c r="B55" s="264" t="s">
        <v>122</v>
      </c>
      <c r="C55" s="265"/>
      <c r="D55" s="266">
        <f>SUM(D46:D54)</f>
        <v>36</v>
      </c>
      <c r="E55" s="267">
        <f>SUM(E46:E54)</f>
        <v>3</v>
      </c>
      <c r="F55" s="268"/>
      <c r="G55" s="269"/>
    </row>
    <row r="56" spans="2:14" ht="20" customHeight="1">
      <c r="B56" s="270"/>
      <c r="C56" s="234"/>
      <c r="D56" s="234"/>
      <c r="E56" s="234"/>
      <c r="F56" s="234"/>
      <c r="G56" s="234"/>
    </row>
    <row r="57" spans="2:14" ht="20" customHeight="1" thickBot="1">
      <c r="B57" s="270"/>
      <c r="C57" s="234"/>
      <c r="D57" s="234"/>
      <c r="E57" s="234"/>
      <c r="F57" s="234"/>
      <c r="G57" s="234"/>
      <c r="I57" s="1461" t="s">
        <v>121</v>
      </c>
      <c r="J57" s="1462"/>
      <c r="K57" s="1462"/>
      <c r="L57" s="1462"/>
      <c r="M57" s="1462"/>
      <c r="N57" s="1463"/>
    </row>
    <row r="58" spans="2:14" ht="15" customHeight="1">
      <c r="B58" s="1467" t="s">
        <v>123</v>
      </c>
      <c r="C58" s="1468"/>
      <c r="D58" s="1468"/>
      <c r="E58" s="1468"/>
      <c r="F58" s="1468"/>
      <c r="G58" s="1469"/>
      <c r="I58" s="1464"/>
      <c r="J58" s="1465"/>
      <c r="K58" s="1465"/>
      <c r="L58" s="1465"/>
      <c r="M58" s="1465"/>
      <c r="N58" s="1466"/>
    </row>
    <row r="59" spans="2:14" ht="15" customHeight="1" thickBot="1">
      <c r="B59" s="1470"/>
      <c r="C59" s="1471"/>
      <c r="D59" s="1471"/>
      <c r="E59" s="1471"/>
      <c r="F59" s="1471"/>
      <c r="G59" s="1472"/>
      <c r="I59" s="285">
        <f>D46</f>
        <v>3</v>
      </c>
      <c r="J59" s="285">
        <f>D47</f>
        <v>0</v>
      </c>
      <c r="K59" s="285">
        <f>D51</f>
        <v>0</v>
      </c>
      <c r="L59" s="285">
        <f>D52</f>
        <v>6</v>
      </c>
      <c r="M59" s="285">
        <f>D53</f>
        <v>24</v>
      </c>
      <c r="N59" s="285">
        <f>D54</f>
        <v>3</v>
      </c>
    </row>
    <row r="60" spans="2:14" ht="20" customHeight="1" thickBot="1">
      <c r="B60" s="151"/>
      <c r="C60" s="151"/>
      <c r="D60" s="151"/>
      <c r="E60" s="151"/>
      <c r="F60" s="151"/>
      <c r="G60" s="284"/>
    </row>
    <row r="61" spans="2:14" ht="15" customHeight="1">
      <c r="B61" s="286" t="s">
        <v>127</v>
      </c>
      <c r="C61" s="287"/>
      <c r="D61" s="288" t="s">
        <v>128</v>
      </c>
      <c r="E61" s="288" t="s">
        <v>129</v>
      </c>
      <c r="F61" s="288" t="s">
        <v>130</v>
      </c>
      <c r="G61" s="289" t="s">
        <v>131</v>
      </c>
      <c r="I61" s="1061" t="s">
        <v>360</v>
      </c>
      <c r="J61" s="1062" t="s">
        <v>361</v>
      </c>
      <c r="K61" s="1062" t="s">
        <v>186</v>
      </c>
      <c r="L61" s="1062" t="s">
        <v>362</v>
      </c>
      <c r="M61" s="1062" t="s">
        <v>119</v>
      </c>
      <c r="N61" s="1063" t="s">
        <v>363</v>
      </c>
    </row>
    <row r="62" spans="2:14" ht="15" customHeight="1">
      <c r="B62" s="293" t="s">
        <v>136</v>
      </c>
      <c r="C62" s="294"/>
      <c r="D62" s="295"/>
      <c r="E62" s="296"/>
      <c r="F62" s="297"/>
      <c r="G62" s="298"/>
      <c r="I62" s="1064"/>
      <c r="J62" s="414"/>
      <c r="K62" s="414"/>
      <c r="L62" s="414"/>
      <c r="M62" s="1065"/>
      <c r="N62" s="1066"/>
    </row>
    <row r="63" spans="2:14" ht="15" customHeight="1">
      <c r="B63" s="306" t="s">
        <v>137</v>
      </c>
      <c r="C63" s="1067"/>
      <c r="D63" s="308"/>
      <c r="E63" s="309"/>
      <c r="F63" s="310"/>
      <c r="G63" s="311">
        <v>440000000</v>
      </c>
      <c r="H63" s="312"/>
      <c r="I63" s="1068">
        <v>0</v>
      </c>
      <c r="J63" s="1069">
        <f>G63</f>
        <v>440000000</v>
      </c>
      <c r="K63" s="1069"/>
      <c r="L63" s="1069"/>
      <c r="M63" s="1070"/>
      <c r="N63" s="1071"/>
    </row>
    <row r="64" spans="2:14" ht="15" customHeight="1">
      <c r="B64" s="306"/>
      <c r="C64" s="307"/>
      <c r="D64" s="308"/>
      <c r="E64" s="317"/>
      <c r="F64" s="318"/>
      <c r="G64" s="311">
        <v>0</v>
      </c>
      <c r="H64" s="312"/>
      <c r="I64" s="1068"/>
      <c r="J64" s="1069"/>
      <c r="K64" s="1069"/>
      <c r="L64" s="1069"/>
      <c r="M64" s="1070"/>
      <c r="N64" s="1071"/>
    </row>
    <row r="65" spans="2:14" ht="15" customHeight="1">
      <c r="B65" s="306" t="s">
        <v>139</v>
      </c>
      <c r="C65" s="307"/>
      <c r="D65" s="308"/>
      <c r="E65" s="317"/>
      <c r="F65" s="318"/>
      <c r="G65" s="311">
        <v>0</v>
      </c>
      <c r="H65" s="312"/>
      <c r="I65" s="1068"/>
      <c r="J65" s="1069"/>
      <c r="K65" s="1069"/>
      <c r="L65" s="1069"/>
      <c r="M65" s="1070"/>
      <c r="N65" s="1071"/>
    </row>
    <row r="66" spans="2:14" ht="15" customHeight="1">
      <c r="B66" s="306" t="s">
        <v>140</v>
      </c>
      <c r="C66" s="307"/>
      <c r="D66" s="308"/>
      <c r="E66" s="317"/>
      <c r="F66" s="318"/>
      <c r="G66" s="319">
        <v>0</v>
      </c>
      <c r="H66" s="312"/>
      <c r="I66" s="1068"/>
      <c r="J66" s="1069"/>
      <c r="K66" s="1069"/>
      <c r="L66" s="1069"/>
      <c r="M66" s="1070"/>
      <c r="N66" s="1071"/>
    </row>
    <row r="67" spans="2:14" ht="15" customHeight="1">
      <c r="B67" s="320" t="s">
        <v>141</v>
      </c>
      <c r="C67" s="307"/>
      <c r="D67" s="308"/>
      <c r="E67" s="317"/>
      <c r="F67" s="321"/>
      <c r="G67" s="319"/>
      <c r="I67" s="1072"/>
      <c r="J67" s="199"/>
      <c r="K67" s="199"/>
      <c r="L67" s="199"/>
      <c r="M67" s="1070"/>
      <c r="N67" s="1071"/>
    </row>
    <row r="68" spans="2:14" ht="15" customHeight="1">
      <c r="B68" s="306" t="s">
        <v>142</v>
      </c>
      <c r="C68" s="322"/>
      <c r="D68" s="308"/>
      <c r="E68" s="323">
        <v>0</v>
      </c>
      <c r="F68" s="324">
        <f>+G63</f>
        <v>440000000</v>
      </c>
      <c r="G68" s="325">
        <f>+F68*E68</f>
        <v>0</v>
      </c>
      <c r="I68" s="1068"/>
      <c r="J68" s="1069"/>
      <c r="K68" s="1069"/>
      <c r="L68" s="1069"/>
      <c r="M68" s="1070"/>
      <c r="N68" s="1071"/>
    </row>
    <row r="69" spans="2:14" ht="15" customHeight="1">
      <c r="B69" s="306" t="s">
        <v>143</v>
      </c>
      <c r="C69" s="322"/>
      <c r="D69" s="308"/>
      <c r="E69" s="326"/>
      <c r="F69" s="324"/>
      <c r="G69" s="311">
        <v>300000</v>
      </c>
      <c r="I69" s="1068">
        <f>G69</f>
        <v>300000</v>
      </c>
      <c r="J69" s="1069"/>
      <c r="K69" s="1069"/>
      <c r="L69" s="1069"/>
      <c r="M69" s="1070"/>
      <c r="N69" s="1071"/>
    </row>
    <row r="70" spans="2:14" ht="15" customHeight="1">
      <c r="B70" s="306" t="s">
        <v>144</v>
      </c>
      <c r="C70" s="322"/>
      <c r="D70" s="308"/>
      <c r="E70" s="326"/>
      <c r="F70" s="324"/>
      <c r="G70" s="311">
        <v>300000</v>
      </c>
      <c r="I70" s="1068">
        <f>G70</f>
        <v>300000</v>
      </c>
      <c r="J70" s="1069"/>
      <c r="K70" s="1069"/>
      <c r="L70" s="1069"/>
      <c r="M70" s="1070"/>
      <c r="N70" s="1071"/>
    </row>
    <row r="71" spans="2:14" ht="15" customHeight="1">
      <c r="B71" s="306" t="s">
        <v>145</v>
      </c>
      <c r="C71" s="322"/>
      <c r="D71" s="308"/>
      <c r="E71" s="326"/>
      <c r="F71" s="324"/>
      <c r="G71" s="311">
        <v>0</v>
      </c>
      <c r="I71" s="1068"/>
      <c r="J71" s="1069"/>
      <c r="K71" s="1069"/>
      <c r="L71" s="1069"/>
      <c r="M71" s="1070"/>
      <c r="N71" s="1071"/>
    </row>
    <row r="72" spans="2:14" ht="15" customHeight="1">
      <c r="B72" s="306"/>
      <c r="C72" s="322"/>
      <c r="D72" s="308"/>
      <c r="E72" s="326"/>
      <c r="F72" s="324"/>
      <c r="G72" s="319"/>
      <c r="I72" s="1068"/>
      <c r="J72" s="1069"/>
      <c r="K72" s="1069"/>
      <c r="L72" s="1069"/>
      <c r="M72" s="1070"/>
      <c r="N72" s="1071"/>
    </row>
    <row r="73" spans="2:14" ht="15" customHeight="1">
      <c r="B73" s="320" t="s">
        <v>146</v>
      </c>
      <c r="C73" s="322"/>
      <c r="D73" s="308"/>
      <c r="E73" s="326"/>
      <c r="F73" s="324"/>
      <c r="G73" s="311"/>
      <c r="I73" s="1068"/>
      <c r="J73" s="1069"/>
      <c r="K73" s="1069"/>
      <c r="L73" s="1069"/>
      <c r="M73" s="1070"/>
      <c r="N73" s="1071"/>
    </row>
    <row r="74" spans="2:14" ht="15" customHeight="1">
      <c r="B74" s="306" t="s">
        <v>147</v>
      </c>
      <c r="C74" s="322"/>
      <c r="D74" s="308"/>
      <c r="E74" s="326"/>
      <c r="F74" s="324"/>
      <c r="G74" s="311">
        <v>200000</v>
      </c>
      <c r="I74" s="1068">
        <f>G74</f>
        <v>200000</v>
      </c>
      <c r="J74" s="1069"/>
      <c r="K74" s="1069"/>
      <c r="L74" s="1069"/>
      <c r="M74" s="1070"/>
      <c r="N74" s="1071"/>
    </row>
    <row r="75" spans="2:14" ht="15" customHeight="1">
      <c r="B75" s="306" t="s">
        <v>148</v>
      </c>
      <c r="C75" s="322"/>
      <c r="D75" s="308"/>
      <c r="E75" s="326"/>
      <c r="F75" s="324"/>
      <c r="G75" s="311">
        <v>200000</v>
      </c>
      <c r="I75" s="1068">
        <f>G75</f>
        <v>200000</v>
      </c>
      <c r="J75" s="1069"/>
      <c r="K75" s="1069"/>
      <c r="L75" s="1069"/>
      <c r="M75" s="1070"/>
      <c r="N75" s="1071"/>
    </row>
    <row r="76" spans="2:14" ht="15" customHeight="1">
      <c r="B76" s="306" t="s">
        <v>149</v>
      </c>
      <c r="C76" s="322"/>
      <c r="D76" s="308"/>
      <c r="E76" s="326"/>
      <c r="F76" s="324"/>
      <c r="G76" s="311">
        <v>0</v>
      </c>
      <c r="I76" s="1068"/>
      <c r="J76" s="1069"/>
      <c r="K76" s="1069"/>
      <c r="L76" s="1069"/>
      <c r="M76" s="1070"/>
      <c r="N76" s="1071"/>
    </row>
    <row r="77" spans="2:14" ht="15" customHeight="1">
      <c r="B77" s="306" t="s">
        <v>150</v>
      </c>
      <c r="C77" s="322"/>
      <c r="D77" s="308"/>
      <c r="E77" s="326"/>
      <c r="F77" s="324"/>
      <c r="G77" s="311">
        <v>0</v>
      </c>
      <c r="I77" s="1068"/>
      <c r="J77" s="1069"/>
      <c r="K77" s="1069"/>
      <c r="L77" s="1069"/>
      <c r="M77" s="1070"/>
      <c r="N77" s="1071"/>
    </row>
    <row r="78" spans="2:14" ht="15" customHeight="1">
      <c r="B78" s="306" t="s">
        <v>151</v>
      </c>
      <c r="C78" s="199"/>
      <c r="D78" s="199"/>
      <c r="E78" s="199"/>
      <c r="F78" s="199"/>
      <c r="G78" s="311">
        <v>200000</v>
      </c>
      <c r="I78" s="1068">
        <f>G78</f>
        <v>200000</v>
      </c>
      <c r="J78" s="1069"/>
      <c r="K78" s="1069"/>
      <c r="L78" s="1069"/>
      <c r="M78" s="1070"/>
      <c r="N78" s="1071"/>
    </row>
    <row r="79" spans="2:14" ht="15" customHeight="1">
      <c r="B79" s="327" t="s">
        <v>152</v>
      </c>
      <c r="C79" s="328"/>
      <c r="D79" s="329"/>
      <c r="E79" s="330" t="s">
        <v>3</v>
      </c>
      <c r="F79" s="331" t="s">
        <v>3</v>
      </c>
      <c r="G79" s="332">
        <v>100000</v>
      </c>
      <c r="I79" s="1073">
        <f>G79</f>
        <v>100000</v>
      </c>
      <c r="J79" s="1074"/>
      <c r="K79" s="1074"/>
      <c r="L79" s="1074"/>
      <c r="M79" s="1075"/>
      <c r="N79" s="1076"/>
    </row>
    <row r="80" spans="2:14" ht="15" customHeight="1">
      <c r="B80" s="333" t="s">
        <v>153</v>
      </c>
      <c r="C80" s="334"/>
      <c r="D80" s="335"/>
      <c r="E80" s="336"/>
      <c r="F80" s="337"/>
      <c r="G80" s="1077">
        <f>SUM(G63:G79)</f>
        <v>441300000</v>
      </c>
      <c r="I80" s="312">
        <f t="shared" ref="I80:N80" si="2">SUM(I63:I79)</f>
        <v>1300000</v>
      </c>
      <c r="J80" s="1078">
        <f t="shared" si="2"/>
        <v>440000000</v>
      </c>
      <c r="K80" s="1078">
        <f t="shared" si="2"/>
        <v>0</v>
      </c>
      <c r="L80" s="1078">
        <f t="shared" si="2"/>
        <v>0</v>
      </c>
      <c r="M80" s="1078">
        <f t="shared" si="2"/>
        <v>0</v>
      </c>
      <c r="N80" s="1078">
        <f t="shared" si="2"/>
        <v>0</v>
      </c>
    </row>
    <row r="81" spans="2:14" ht="15" customHeight="1">
      <c r="B81" s="343"/>
      <c r="C81" s="164"/>
      <c r="D81" s="344"/>
      <c r="E81" s="345" t="s">
        <v>154</v>
      </c>
      <c r="F81" s="346" t="s">
        <v>83</v>
      </c>
      <c r="G81" s="347">
        <f>G80/C35</f>
        <v>30948.874395118874</v>
      </c>
    </row>
    <row r="82" spans="2:14" ht="15" customHeight="1">
      <c r="B82" s="343"/>
      <c r="C82" s="164"/>
      <c r="D82" s="344"/>
      <c r="E82" s="348"/>
      <c r="F82" s="346" t="s">
        <v>84</v>
      </c>
      <c r="G82" s="347">
        <f>G80/C14</f>
        <v>28406.823302220793</v>
      </c>
    </row>
    <row r="83" spans="2:14" ht="15" customHeight="1" thickBot="1">
      <c r="B83" s="349"/>
      <c r="C83" s="350"/>
      <c r="D83" s="351"/>
      <c r="E83" s="352"/>
      <c r="F83" s="353" t="s">
        <v>155</v>
      </c>
      <c r="G83" s="354">
        <f>G80/G302</f>
        <v>0.27194101663511722</v>
      </c>
    </row>
    <row r="84" spans="2:14" ht="20" customHeight="1" thickBot="1">
      <c r="B84" s="164"/>
      <c r="C84" s="164"/>
      <c r="D84" s="344"/>
      <c r="E84" s="348"/>
      <c r="F84" s="346"/>
      <c r="G84" s="362"/>
    </row>
    <row r="85" spans="2:14" ht="15" customHeight="1">
      <c r="B85" s="370" t="s">
        <v>156</v>
      </c>
      <c r="C85" s="371"/>
      <c r="D85" s="372"/>
      <c r="E85" s="373"/>
      <c r="F85" s="374"/>
      <c r="G85" s="375"/>
      <c r="I85" s="1064"/>
      <c r="J85" s="414"/>
      <c r="K85" s="414"/>
      <c r="L85" s="414"/>
      <c r="M85" s="1065"/>
      <c r="N85" s="1066"/>
    </row>
    <row r="86" spans="2:14" ht="15" customHeight="1">
      <c r="B86" s="383" t="s">
        <v>157</v>
      </c>
      <c r="C86" s="1079" t="s">
        <v>364</v>
      </c>
      <c r="D86" s="385">
        <f>C14</f>
        <v>15535</v>
      </c>
      <c r="E86" s="386">
        <v>500</v>
      </c>
      <c r="F86" s="387"/>
      <c r="G86" s="1080">
        <f>D86*E86</f>
        <v>7767500</v>
      </c>
      <c r="I86" s="1081"/>
      <c r="J86" s="833"/>
      <c r="K86" s="833"/>
      <c r="L86" s="833"/>
      <c r="M86" s="199"/>
      <c r="N86" s="1082">
        <f>G86</f>
        <v>7767500</v>
      </c>
    </row>
    <row r="87" spans="2:14" ht="15" customHeight="1">
      <c r="B87" s="394" t="s">
        <v>159</v>
      </c>
      <c r="C87" s="395"/>
      <c r="D87" s="395"/>
      <c r="E87" s="396"/>
      <c r="F87" s="397"/>
      <c r="G87" s="398"/>
      <c r="I87" s="1081"/>
      <c r="J87" s="833"/>
      <c r="K87" s="833"/>
      <c r="L87" s="199"/>
      <c r="M87" s="1070"/>
      <c r="N87" s="1071"/>
    </row>
    <row r="88" spans="2:14" ht="15" customHeight="1">
      <c r="B88" s="394" t="s">
        <v>160</v>
      </c>
      <c r="C88" s="395"/>
      <c r="D88" s="395" t="s">
        <v>3</v>
      </c>
      <c r="E88" s="396"/>
      <c r="F88" s="397"/>
      <c r="G88" s="398"/>
      <c r="I88" s="1081"/>
      <c r="J88" s="833"/>
      <c r="K88" s="833"/>
      <c r="L88" s="199"/>
      <c r="M88" s="1070"/>
      <c r="N88" s="1071" t="s">
        <v>3</v>
      </c>
    </row>
    <row r="89" spans="2:14" ht="15" customHeight="1">
      <c r="B89" s="394" t="s">
        <v>3</v>
      </c>
      <c r="C89" s="395"/>
      <c r="D89" s="395" t="s">
        <v>3</v>
      </c>
      <c r="E89" s="396"/>
      <c r="F89" s="397"/>
      <c r="G89" s="398"/>
      <c r="I89" s="1072"/>
      <c r="J89" s="199"/>
      <c r="K89" s="199"/>
      <c r="L89" s="199"/>
      <c r="M89" s="1070"/>
      <c r="N89" s="1071"/>
    </row>
    <row r="90" spans="2:14" ht="15" customHeight="1">
      <c r="B90" s="400"/>
      <c r="C90" s="401"/>
      <c r="D90" s="401" t="s">
        <v>3</v>
      </c>
      <c r="E90" s="402"/>
      <c r="F90" s="403"/>
      <c r="G90" s="1083"/>
      <c r="I90" s="1084"/>
      <c r="J90" s="487"/>
      <c r="K90" s="487"/>
      <c r="L90" s="487"/>
      <c r="M90" s="1075"/>
      <c r="N90" s="1076"/>
    </row>
    <row r="91" spans="2:14" ht="15" customHeight="1">
      <c r="B91" s="405" t="s">
        <v>161</v>
      </c>
      <c r="C91" s="334"/>
      <c r="D91" s="335"/>
      <c r="E91" s="336"/>
      <c r="F91" s="406"/>
      <c r="G91" s="1085">
        <f>SUM(G86:G90)</f>
        <v>7767500</v>
      </c>
      <c r="I91" s="794">
        <f t="shared" ref="I91:N91" si="3">SUM(I85:I90)</f>
        <v>0</v>
      </c>
      <c r="J91" s="794">
        <f t="shared" si="3"/>
        <v>0</v>
      </c>
      <c r="K91" s="794">
        <f t="shared" si="3"/>
        <v>0</v>
      </c>
      <c r="L91" s="794">
        <f t="shared" si="3"/>
        <v>0</v>
      </c>
      <c r="M91" s="794">
        <f t="shared" si="3"/>
        <v>0</v>
      </c>
      <c r="N91" s="794">
        <f t="shared" si="3"/>
        <v>7767500</v>
      </c>
    </row>
    <row r="92" spans="2:14" ht="15" customHeight="1">
      <c r="B92" s="343"/>
      <c r="C92" s="164"/>
      <c r="D92" s="344"/>
      <c r="E92" s="345" t="s">
        <v>154</v>
      </c>
      <c r="F92" s="346" t="s">
        <v>83</v>
      </c>
      <c r="G92" s="347">
        <f>G91/C35</f>
        <v>544.74367066414197</v>
      </c>
    </row>
    <row r="93" spans="2:14" ht="15" customHeight="1">
      <c r="B93" s="343"/>
      <c r="C93" s="164"/>
      <c r="D93" s="344"/>
      <c r="E93" s="348"/>
      <c r="F93" s="346" t="s">
        <v>84</v>
      </c>
      <c r="G93" s="347">
        <f>G91/C14</f>
        <v>500</v>
      </c>
    </row>
    <row r="94" spans="2:14" ht="15" customHeight="1" thickBot="1">
      <c r="B94" s="349"/>
      <c r="C94" s="350"/>
      <c r="D94" s="351"/>
      <c r="E94" s="352"/>
      <c r="F94" s="353" t="s">
        <v>155</v>
      </c>
      <c r="G94" s="354">
        <f>G91/G302</f>
        <v>4.7865439535764182E-3</v>
      </c>
    </row>
    <row r="95" spans="2:14" ht="20" customHeight="1" thickBot="1">
      <c r="B95" s="164"/>
      <c r="C95" s="164"/>
      <c r="D95" s="344"/>
      <c r="E95" s="348"/>
      <c r="F95" s="346"/>
      <c r="G95" s="409"/>
    </row>
    <row r="96" spans="2:14" ht="15" customHeight="1">
      <c r="B96" s="286" t="s">
        <v>162</v>
      </c>
      <c r="C96" s="287"/>
      <c r="D96" s="287"/>
      <c r="E96" s="410" t="s">
        <v>163</v>
      </c>
      <c r="F96" s="411"/>
      <c r="G96" s="412"/>
    </row>
    <row r="97" spans="2:25" ht="15" customHeight="1">
      <c r="B97" s="413" t="s">
        <v>164</v>
      </c>
      <c r="C97" s="414"/>
      <c r="D97" s="295" t="s">
        <v>365</v>
      </c>
      <c r="E97" s="415"/>
      <c r="F97" s="297"/>
      <c r="G97" s="298"/>
      <c r="I97" s="1086"/>
      <c r="J97" s="1087"/>
      <c r="K97" s="1087"/>
      <c r="L97" s="1087"/>
      <c r="M97" s="1087"/>
      <c r="N97" s="1088"/>
      <c r="O97" s="141" t="s">
        <v>3</v>
      </c>
      <c r="P97" s="141" t="s">
        <v>3</v>
      </c>
      <c r="Q97" s="141" t="s">
        <v>3</v>
      </c>
      <c r="R97" s="141" t="s">
        <v>3</v>
      </c>
      <c r="S97" s="141" t="s">
        <v>3</v>
      </c>
      <c r="T97" s="141" t="s">
        <v>3</v>
      </c>
      <c r="U97" s="141" t="s">
        <v>3</v>
      </c>
      <c r="V97" s="141" t="s">
        <v>3</v>
      </c>
      <c r="W97" s="141" t="s">
        <v>3</v>
      </c>
      <c r="X97" s="141" t="s">
        <v>3</v>
      </c>
      <c r="Y97" s="141" t="s">
        <v>3</v>
      </c>
    </row>
    <row r="98" spans="2:25" ht="15" customHeight="1">
      <c r="B98" s="306" t="s">
        <v>165</v>
      </c>
      <c r="C98" s="175"/>
      <c r="D98" s="421"/>
      <c r="E98" s="422"/>
      <c r="F98" s="175"/>
      <c r="G98" s="423">
        <v>0</v>
      </c>
      <c r="I98" s="1086"/>
      <c r="J98" s="1087"/>
      <c r="K98" s="1087"/>
      <c r="L98" s="1087"/>
      <c r="M98" s="1087"/>
      <c r="N98" s="1088"/>
    </row>
    <row r="99" spans="2:25" ht="15" customHeight="1">
      <c r="B99" s="306" t="s">
        <v>166</v>
      </c>
      <c r="C99" s="955"/>
      <c r="D99" s="424">
        <v>5903846.0164937498</v>
      </c>
      <c r="E99" s="326"/>
      <c r="F99" s="175"/>
      <c r="G99" s="423">
        <v>0</v>
      </c>
      <c r="I99" s="1086"/>
      <c r="J99" s="1087">
        <f>G99</f>
        <v>0</v>
      </c>
      <c r="K99" s="1087"/>
      <c r="L99" s="1087"/>
      <c r="M99" s="1087"/>
      <c r="N99" s="1088"/>
      <c r="O99" s="312" t="s">
        <v>3</v>
      </c>
      <c r="P99" s="312" t="s">
        <v>3</v>
      </c>
      <c r="Q99" s="312" t="s">
        <v>3</v>
      </c>
      <c r="R99" s="312" t="s">
        <v>3</v>
      </c>
      <c r="S99" s="312" t="s">
        <v>3</v>
      </c>
      <c r="T99" s="312" t="s">
        <v>3</v>
      </c>
      <c r="U99" s="312" t="s">
        <v>3</v>
      </c>
      <c r="V99" s="312" t="s">
        <v>3</v>
      </c>
      <c r="W99" s="312" t="s">
        <v>3</v>
      </c>
      <c r="X99" s="312" t="s">
        <v>3</v>
      </c>
      <c r="Y99" s="312" t="s">
        <v>3</v>
      </c>
    </row>
    <row r="100" spans="2:25" ht="15" customHeight="1">
      <c r="B100" s="306" t="s">
        <v>168</v>
      </c>
      <c r="C100" s="175"/>
      <c r="D100" s="424"/>
      <c r="E100" s="326"/>
      <c r="F100" s="175"/>
      <c r="G100" s="423">
        <v>0</v>
      </c>
      <c r="I100" s="1086"/>
      <c r="J100" s="1087"/>
      <c r="K100" s="1087"/>
      <c r="L100" s="1087"/>
      <c r="M100" s="1087"/>
      <c r="N100" s="1088"/>
      <c r="O100" s="312"/>
      <c r="P100" s="312"/>
      <c r="Q100" s="312"/>
      <c r="R100" s="312"/>
      <c r="S100" s="312"/>
      <c r="T100" s="312"/>
      <c r="U100" s="312"/>
      <c r="V100" s="312"/>
      <c r="W100" s="312"/>
      <c r="X100" s="312"/>
      <c r="Y100" s="312"/>
    </row>
    <row r="101" spans="2:25" ht="15" customHeight="1">
      <c r="B101" s="306" t="s">
        <v>169</v>
      </c>
      <c r="C101" s="175"/>
      <c r="D101" s="424"/>
      <c r="E101" s="326"/>
      <c r="F101" s="175"/>
      <c r="G101" s="423">
        <v>1000000</v>
      </c>
      <c r="I101" s="1086"/>
      <c r="J101" s="1087"/>
      <c r="K101" s="1087">
        <f>G101</f>
        <v>1000000</v>
      </c>
      <c r="L101" s="1087"/>
      <c r="M101" s="1087"/>
      <c r="N101" s="1088"/>
      <c r="O101" s="312"/>
      <c r="P101" s="312"/>
      <c r="Q101" s="312"/>
      <c r="R101" s="312"/>
      <c r="S101" s="312"/>
      <c r="T101" s="312"/>
      <c r="U101" s="312"/>
      <c r="V101" s="312"/>
      <c r="W101" s="312"/>
      <c r="X101" s="312"/>
      <c r="Y101" s="312"/>
    </row>
    <row r="102" spans="2:25" ht="15" customHeight="1">
      <c r="B102" s="306" t="s">
        <v>172</v>
      </c>
      <c r="C102" s="175"/>
      <c r="D102" s="424"/>
      <c r="E102" s="326"/>
      <c r="F102" s="175"/>
      <c r="G102" s="423">
        <v>0</v>
      </c>
      <c r="I102" s="1086"/>
      <c r="J102" s="1087"/>
      <c r="K102" s="1087"/>
      <c r="L102" s="1087"/>
      <c r="M102" s="1087"/>
      <c r="N102" s="1088"/>
    </row>
    <row r="103" spans="2:25" ht="15" customHeight="1">
      <c r="B103" s="306" t="s">
        <v>173</v>
      </c>
      <c r="C103" s="175"/>
      <c r="D103" s="424"/>
      <c r="E103" s="326"/>
      <c r="F103" s="175"/>
      <c r="G103" s="423">
        <v>0</v>
      </c>
      <c r="I103" s="1086"/>
      <c r="J103" s="1087"/>
      <c r="K103" s="1087"/>
      <c r="L103" s="1087"/>
      <c r="M103" s="1087"/>
      <c r="N103" s="1088"/>
    </row>
    <row r="104" spans="2:25" ht="15" customHeight="1">
      <c r="B104" s="306" t="s">
        <v>174</v>
      </c>
      <c r="C104" s="175"/>
      <c r="D104" s="424">
        <v>6858879.9309265632</v>
      </c>
      <c r="E104" s="326"/>
      <c r="F104" s="175"/>
      <c r="G104" s="423">
        <v>0</v>
      </c>
      <c r="H104" s="312"/>
      <c r="I104" s="1086"/>
      <c r="J104" s="1087"/>
      <c r="K104" s="1087"/>
      <c r="L104" s="1087"/>
      <c r="M104" s="1087"/>
      <c r="N104" s="1088"/>
      <c r="O104" s="312" t="s">
        <v>3</v>
      </c>
      <c r="P104" s="312" t="s">
        <v>3</v>
      </c>
      <c r="Q104" s="312" t="s">
        <v>3</v>
      </c>
      <c r="R104" s="312" t="s">
        <v>3</v>
      </c>
      <c r="S104" s="312" t="s">
        <v>3</v>
      </c>
      <c r="T104" s="312" t="s">
        <v>3</v>
      </c>
      <c r="U104" s="312" t="s">
        <v>3</v>
      </c>
      <c r="V104" s="312" t="s">
        <v>3</v>
      </c>
      <c r="W104" s="312" t="s">
        <v>3</v>
      </c>
      <c r="X104" s="312" t="s">
        <v>3</v>
      </c>
      <c r="Y104" s="312" t="s">
        <v>3</v>
      </c>
    </row>
    <row r="105" spans="2:25" ht="15" customHeight="1">
      <c r="B105" s="306" t="s">
        <v>175</v>
      </c>
      <c r="C105" s="175"/>
      <c r="D105" s="424">
        <v>10071266.734018749</v>
      </c>
      <c r="E105" s="326"/>
      <c r="F105" s="175"/>
      <c r="G105" s="423">
        <v>0</v>
      </c>
      <c r="I105" s="1086"/>
      <c r="J105" s="1087"/>
      <c r="K105" s="1087"/>
      <c r="L105" s="1087" t="s">
        <v>3</v>
      </c>
      <c r="M105" s="1087"/>
      <c r="N105" s="1088"/>
      <c r="O105" s="312" t="s">
        <v>3</v>
      </c>
      <c r="P105" s="312" t="s">
        <v>3</v>
      </c>
      <c r="Q105" s="312" t="s">
        <v>3</v>
      </c>
      <c r="R105" s="312" t="s">
        <v>3</v>
      </c>
      <c r="S105" s="312" t="s">
        <v>3</v>
      </c>
      <c r="T105" s="312" t="s">
        <v>3</v>
      </c>
      <c r="U105" s="312" t="s">
        <v>3</v>
      </c>
      <c r="V105" s="312" t="s">
        <v>3</v>
      </c>
      <c r="W105" s="312" t="s">
        <v>3</v>
      </c>
      <c r="X105" s="312" t="s">
        <v>3</v>
      </c>
      <c r="Y105" s="312" t="s">
        <v>3</v>
      </c>
    </row>
    <row r="106" spans="2:25" ht="15" customHeight="1">
      <c r="B106" s="306" t="s">
        <v>366</v>
      </c>
      <c r="C106" s="175"/>
      <c r="D106" s="424"/>
      <c r="E106" s="422">
        <v>0</v>
      </c>
      <c r="F106" s="308">
        <v>6</v>
      </c>
      <c r="G106" s="423">
        <f>E106*F106</f>
        <v>0</v>
      </c>
      <c r="I106" s="1086"/>
      <c r="J106" s="1087"/>
      <c r="K106" s="1087">
        <f>G106</f>
        <v>0</v>
      </c>
      <c r="L106" s="1087"/>
      <c r="M106" s="1087"/>
      <c r="N106" s="1088"/>
      <c r="O106" s="312"/>
      <c r="P106" s="312"/>
      <c r="Q106" s="312"/>
      <c r="R106" s="312"/>
      <c r="S106" s="312"/>
      <c r="T106" s="312"/>
      <c r="U106" s="312"/>
      <c r="V106" s="312"/>
      <c r="W106" s="312"/>
      <c r="X106" s="312"/>
      <c r="Y106" s="312"/>
    </row>
    <row r="107" spans="2:25" ht="15" customHeight="1">
      <c r="B107" s="431" t="s">
        <v>179</v>
      </c>
      <c r="C107" s="955"/>
      <c r="D107" s="437"/>
      <c r="E107" s="438"/>
      <c r="F107" s="434"/>
      <c r="G107" s="435">
        <v>0</v>
      </c>
      <c r="I107" s="1086"/>
      <c r="J107" s="1087"/>
      <c r="K107" s="1087">
        <f>G107</f>
        <v>0</v>
      </c>
      <c r="L107" s="1087"/>
      <c r="M107" s="1087"/>
      <c r="N107" s="1088"/>
      <c r="O107" s="312"/>
      <c r="P107" s="312"/>
      <c r="Q107" s="312"/>
      <c r="R107" s="312"/>
      <c r="S107" s="312"/>
      <c r="T107" s="312"/>
      <c r="U107" s="312"/>
      <c r="V107" s="312"/>
      <c r="W107" s="312"/>
      <c r="X107" s="312"/>
      <c r="Y107" s="312"/>
    </row>
    <row r="108" spans="2:25" ht="15" customHeight="1">
      <c r="B108" s="431" t="s">
        <v>181</v>
      </c>
      <c r="C108" s="436"/>
      <c r="D108" s="437"/>
      <c r="E108" s="438"/>
      <c r="F108" s="434"/>
      <c r="G108" s="498">
        <v>3000000</v>
      </c>
      <c r="I108" s="1086"/>
      <c r="J108" s="1087"/>
      <c r="K108" s="1087"/>
      <c r="L108" s="1087"/>
      <c r="M108" s="1087"/>
      <c r="N108" s="1088"/>
      <c r="O108" s="312"/>
      <c r="P108" s="312"/>
      <c r="Q108" s="312"/>
      <c r="R108" s="312"/>
      <c r="S108" s="312"/>
      <c r="T108" s="312"/>
      <c r="U108" s="312"/>
      <c r="V108" s="312"/>
      <c r="W108" s="312"/>
      <c r="X108" s="312"/>
      <c r="Y108" s="312"/>
    </row>
    <row r="109" spans="2:25" ht="15" customHeight="1">
      <c r="B109" s="431"/>
      <c r="C109" s="436"/>
      <c r="D109" s="437"/>
      <c r="E109" s="438"/>
      <c r="F109" s="434"/>
      <c r="G109" s="439"/>
      <c r="I109" s="1086"/>
      <c r="J109" s="1087"/>
      <c r="K109" s="1087"/>
      <c r="L109" s="1087"/>
      <c r="M109" s="1087"/>
      <c r="N109" s="1088"/>
      <c r="O109" s="312"/>
      <c r="P109" s="312"/>
      <c r="Q109" s="312"/>
      <c r="R109" s="312"/>
      <c r="S109" s="312"/>
      <c r="T109" s="312"/>
      <c r="U109" s="312"/>
      <c r="V109" s="312"/>
      <c r="W109" s="312"/>
      <c r="X109" s="312"/>
      <c r="Y109" s="312"/>
    </row>
    <row r="110" spans="2:25" ht="15" customHeight="1">
      <c r="B110" s="440" t="s">
        <v>182</v>
      </c>
      <c r="C110" s="414"/>
      <c r="D110" s="295"/>
      <c r="E110" s="415"/>
      <c r="F110" s="297"/>
      <c r="G110" s="298"/>
      <c r="I110" s="1086"/>
      <c r="J110" s="1087"/>
      <c r="K110" s="1087"/>
      <c r="L110" s="1087"/>
      <c r="M110" s="1087"/>
      <c r="N110" s="1088"/>
      <c r="O110" s="312"/>
      <c r="P110" s="312"/>
      <c r="Q110" s="312"/>
      <c r="R110" s="312"/>
      <c r="S110" s="312"/>
      <c r="T110" s="312"/>
      <c r="U110" s="312"/>
      <c r="V110" s="312"/>
      <c r="W110" s="312"/>
      <c r="X110" s="312"/>
      <c r="Y110" s="312"/>
    </row>
    <row r="111" spans="2:25" ht="15" customHeight="1">
      <c r="B111" s="394" t="s">
        <v>183</v>
      </c>
      <c r="C111" s="199"/>
      <c r="D111" s="308"/>
      <c r="E111" s="441"/>
      <c r="F111" s="321"/>
      <c r="G111" s="311">
        <v>0</v>
      </c>
      <c r="I111" s="1086"/>
      <c r="J111" s="1087"/>
      <c r="K111" s="1087"/>
      <c r="L111" s="1087"/>
      <c r="M111" s="1087"/>
      <c r="N111" s="1088"/>
      <c r="O111" s="312"/>
      <c r="P111" s="312"/>
      <c r="Q111" s="312"/>
      <c r="R111" s="312"/>
      <c r="S111" s="312"/>
      <c r="T111" s="312"/>
      <c r="U111" s="312"/>
      <c r="V111" s="312"/>
      <c r="W111" s="312"/>
      <c r="X111" s="312"/>
      <c r="Y111" s="312"/>
    </row>
    <row r="112" spans="2:25" ht="15" customHeight="1">
      <c r="B112" s="442" t="s">
        <v>184</v>
      </c>
      <c r="C112" s="199"/>
      <c r="D112" s="308"/>
      <c r="E112" s="441"/>
      <c r="F112" s="321"/>
      <c r="G112" s="311"/>
      <c r="I112" s="1086"/>
      <c r="J112" s="1087"/>
      <c r="K112" s="1087"/>
      <c r="L112" s="1087"/>
      <c r="M112" s="1087"/>
      <c r="N112" s="1088"/>
      <c r="O112" s="312"/>
      <c r="P112" s="312"/>
      <c r="Q112" s="312"/>
      <c r="R112" s="312"/>
      <c r="S112" s="312"/>
      <c r="T112" s="312"/>
      <c r="U112" s="312"/>
      <c r="V112" s="312"/>
      <c r="W112" s="312"/>
      <c r="X112" s="312"/>
      <c r="Y112" s="312"/>
    </row>
    <row r="113" spans="2:25" ht="15" customHeight="1">
      <c r="B113" s="442" t="s">
        <v>185</v>
      </c>
      <c r="C113" s="199"/>
      <c r="D113" s="308"/>
      <c r="E113" s="441"/>
      <c r="F113" s="321"/>
      <c r="G113" s="311">
        <v>0</v>
      </c>
      <c r="I113" s="1086"/>
      <c r="J113" s="1087"/>
      <c r="K113" s="1087"/>
      <c r="L113" s="1087"/>
      <c r="M113" s="1087"/>
      <c r="N113" s="1088"/>
      <c r="O113" s="312"/>
      <c r="P113" s="312"/>
      <c r="Q113" s="312"/>
      <c r="R113" s="312"/>
      <c r="S113" s="312"/>
      <c r="T113" s="312"/>
      <c r="U113" s="312"/>
      <c r="V113" s="312"/>
      <c r="W113" s="312"/>
      <c r="X113" s="312"/>
      <c r="Y113" s="312"/>
    </row>
    <row r="114" spans="2:25" ht="15" customHeight="1">
      <c r="B114" s="442" t="s">
        <v>186</v>
      </c>
      <c r="C114" s="199"/>
      <c r="D114" s="308"/>
      <c r="E114" s="441"/>
      <c r="F114" s="321"/>
      <c r="G114" s="311">
        <v>500000</v>
      </c>
      <c r="I114" s="1086"/>
      <c r="J114" s="1087"/>
      <c r="K114" s="1087"/>
      <c r="L114" s="1087"/>
      <c r="M114" s="1087"/>
      <c r="N114" s="1088"/>
      <c r="O114" s="312"/>
      <c r="P114" s="312"/>
      <c r="Q114" s="312"/>
      <c r="R114" s="312"/>
      <c r="S114" s="312"/>
      <c r="T114" s="312"/>
      <c r="U114" s="312"/>
      <c r="V114" s="312"/>
      <c r="W114" s="312"/>
      <c r="X114" s="312"/>
      <c r="Y114" s="312"/>
    </row>
    <row r="115" spans="2:25" ht="15" customHeight="1">
      <c r="B115" s="431"/>
      <c r="C115" s="436"/>
      <c r="D115" s="437"/>
      <c r="E115" s="438"/>
      <c r="F115" s="434"/>
      <c r="G115" s="439"/>
      <c r="I115" s="1086"/>
      <c r="J115" s="1087"/>
      <c r="K115" s="1087"/>
      <c r="L115" s="1087"/>
      <c r="M115" s="1087"/>
      <c r="N115" s="1088"/>
      <c r="O115" s="312"/>
      <c r="P115" s="312"/>
      <c r="Q115" s="312"/>
      <c r="R115" s="312"/>
      <c r="S115" s="312"/>
      <c r="T115" s="312"/>
      <c r="U115" s="312"/>
      <c r="V115" s="312"/>
      <c r="W115" s="312"/>
      <c r="X115" s="312"/>
      <c r="Y115" s="312"/>
    </row>
    <row r="116" spans="2:25" ht="15" customHeight="1">
      <c r="B116" s="394" t="s">
        <v>187</v>
      </c>
      <c r="C116" s="307" t="s">
        <v>188</v>
      </c>
      <c r="D116" s="443"/>
      <c r="E116" s="444">
        <v>40</v>
      </c>
      <c r="F116" s="424">
        <v>22000</v>
      </c>
      <c r="G116" s="311">
        <f>+F116*E116</f>
        <v>880000</v>
      </c>
      <c r="I116" s="1086"/>
      <c r="J116" s="1087"/>
      <c r="K116" s="1087"/>
      <c r="L116" s="1087"/>
      <c r="M116" s="1087"/>
      <c r="N116" s="1088"/>
      <c r="O116" s="312"/>
      <c r="P116" s="312"/>
      <c r="Q116" s="312"/>
      <c r="R116" s="312"/>
      <c r="S116" s="312"/>
      <c r="T116" s="312"/>
      <c r="U116" s="312"/>
      <c r="V116" s="312"/>
      <c r="W116" s="312"/>
      <c r="X116" s="312"/>
      <c r="Y116" s="312"/>
    </row>
    <row r="117" spans="2:25" ht="15" customHeight="1">
      <c r="B117" s="431"/>
      <c r="C117" s="436"/>
      <c r="D117" s="437"/>
      <c r="E117" s="438"/>
      <c r="F117" s="434"/>
      <c r="G117" s="439"/>
      <c r="I117" s="1086"/>
      <c r="J117" s="1087"/>
      <c r="K117" s="1087"/>
      <c r="L117" s="1087"/>
      <c r="M117" s="1087"/>
      <c r="N117" s="1088"/>
      <c r="O117" s="312"/>
      <c r="P117" s="312"/>
      <c r="Q117" s="312"/>
      <c r="R117" s="312"/>
      <c r="S117" s="312"/>
      <c r="T117" s="312"/>
      <c r="U117" s="312"/>
      <c r="V117" s="312"/>
      <c r="W117" s="312"/>
      <c r="X117" s="312"/>
      <c r="Y117" s="312"/>
    </row>
    <row r="118" spans="2:25" ht="15" customHeight="1">
      <c r="B118" s="445" t="s">
        <v>189</v>
      </c>
      <c r="C118" s="446"/>
      <c r="D118" s="447"/>
      <c r="E118" s="448"/>
      <c r="F118" s="449"/>
      <c r="G118" s="1089">
        <f>SUM(G98:G114)</f>
        <v>4500000</v>
      </c>
      <c r="I118" s="1086"/>
      <c r="J118" s="1087"/>
      <c r="K118" s="1087"/>
      <c r="L118" s="1087"/>
      <c r="M118" s="1087"/>
      <c r="N118" s="1088"/>
      <c r="O118" s="312"/>
      <c r="P118" s="312"/>
      <c r="Q118" s="312"/>
      <c r="R118" s="312"/>
      <c r="S118" s="312"/>
      <c r="T118" s="312"/>
      <c r="U118" s="312"/>
      <c r="V118" s="312"/>
      <c r="W118" s="312"/>
      <c r="X118" s="312"/>
      <c r="Y118" s="312"/>
    </row>
    <row r="119" spans="2:25" ht="15" customHeight="1">
      <c r="B119" s="431"/>
      <c r="C119" s="436"/>
      <c r="D119" s="437"/>
      <c r="E119" s="438"/>
      <c r="F119" s="434"/>
      <c r="G119" s="439"/>
      <c r="I119" s="1086"/>
      <c r="J119" s="1087"/>
      <c r="K119" s="1087"/>
      <c r="L119" s="1087"/>
      <c r="M119" s="1087"/>
      <c r="N119" s="1088"/>
      <c r="O119" s="312"/>
      <c r="P119" s="312"/>
      <c r="Q119" s="312"/>
      <c r="R119" s="312"/>
      <c r="S119" s="312"/>
      <c r="T119" s="312"/>
      <c r="U119" s="312"/>
      <c r="V119" s="312"/>
      <c r="W119" s="312"/>
      <c r="X119" s="312"/>
      <c r="Y119" s="312"/>
    </row>
    <row r="120" spans="2:25" ht="15" customHeight="1">
      <c r="B120" s="451" t="s">
        <v>190</v>
      </c>
      <c r="C120" s="452"/>
      <c r="D120" s="452"/>
      <c r="E120" s="453" t="s">
        <v>163</v>
      </c>
      <c r="F120" s="454"/>
      <c r="G120" s="455"/>
      <c r="I120" s="1086"/>
      <c r="J120" s="1087"/>
      <c r="K120" s="1087"/>
      <c r="L120" s="1087"/>
      <c r="M120" s="1087"/>
      <c r="N120" s="1088"/>
      <c r="O120" s="312"/>
      <c r="P120" s="312"/>
      <c r="Q120" s="312"/>
      <c r="R120" s="312"/>
      <c r="S120" s="312"/>
      <c r="T120" s="312"/>
      <c r="U120" s="312"/>
      <c r="V120" s="312"/>
      <c r="W120" s="312"/>
      <c r="X120" s="312"/>
      <c r="Y120" s="312"/>
    </row>
    <row r="121" spans="2:25" s="207" customFormat="1" ht="15" customHeight="1">
      <c r="B121" s="306" t="s">
        <v>191</v>
      </c>
      <c r="C121" s="175"/>
      <c r="D121" s="175"/>
      <c r="E121" s="175"/>
      <c r="F121" s="175"/>
      <c r="G121" s="176">
        <v>0</v>
      </c>
      <c r="H121" s="207" t="s">
        <v>3</v>
      </c>
      <c r="I121" s="1086"/>
      <c r="J121" s="1087"/>
      <c r="K121" s="1087"/>
      <c r="L121" s="1087"/>
      <c r="M121" s="1090"/>
      <c r="N121" s="1091"/>
    </row>
    <row r="122" spans="2:25" ht="15" customHeight="1">
      <c r="B122" s="394" t="s">
        <v>367</v>
      </c>
      <c r="C122" s="175"/>
      <c r="D122" s="424">
        <v>16843325.399996877</v>
      </c>
      <c r="E122" s="326"/>
      <c r="F122" s="467"/>
      <c r="G122" s="423">
        <v>20000000</v>
      </c>
      <c r="H122" s="312" t="s">
        <v>3</v>
      </c>
      <c r="I122" s="1086"/>
      <c r="J122" s="1087"/>
      <c r="K122" s="1087"/>
      <c r="L122" s="1087">
        <f>G122</f>
        <v>20000000</v>
      </c>
      <c r="M122" s="1087"/>
      <c r="N122" s="1088"/>
    </row>
    <row r="123" spans="2:25" ht="15" customHeight="1">
      <c r="B123" s="394" t="s">
        <v>193</v>
      </c>
      <c r="C123" s="175"/>
      <c r="D123" s="424"/>
      <c r="E123" s="422">
        <v>150000</v>
      </c>
      <c r="F123" s="468">
        <v>24</v>
      </c>
      <c r="G123" s="423">
        <f>E123*F123</f>
        <v>3600000</v>
      </c>
      <c r="H123" s="312" t="s">
        <v>3</v>
      </c>
      <c r="I123" s="1086"/>
      <c r="J123" s="1087"/>
      <c r="K123" s="1087"/>
      <c r="L123" s="1087"/>
      <c r="M123" s="1087">
        <f>G123</f>
        <v>3600000</v>
      </c>
      <c r="N123" s="1088"/>
    </row>
    <row r="124" spans="2:25" ht="15" customHeight="1">
      <c r="B124" s="469" t="s">
        <v>195</v>
      </c>
      <c r="C124" s="175"/>
      <c r="D124" s="424"/>
      <c r="E124" s="326"/>
      <c r="F124" s="467"/>
      <c r="G124" s="423">
        <v>1000000</v>
      </c>
      <c r="H124" s="312" t="s">
        <v>3</v>
      </c>
      <c r="I124" s="1086"/>
      <c r="J124" s="1087"/>
      <c r="K124" s="1087"/>
      <c r="L124" s="1087">
        <f>G124</f>
        <v>1000000</v>
      </c>
      <c r="M124" s="1087"/>
      <c r="N124" s="1088"/>
    </row>
    <row r="125" spans="2:25" ht="15" customHeight="1">
      <c r="B125" s="470" t="s">
        <v>196</v>
      </c>
      <c r="C125" s="175"/>
      <c r="D125" s="424"/>
      <c r="E125" s="326"/>
      <c r="F125" s="467"/>
      <c r="G125" s="423">
        <v>1500000</v>
      </c>
      <c r="H125" s="312"/>
      <c r="I125" s="1086"/>
      <c r="J125" s="1087"/>
      <c r="K125" s="1087"/>
      <c r="L125" s="1087">
        <f>G125</f>
        <v>1500000</v>
      </c>
      <c r="M125" s="1087"/>
      <c r="N125" s="1088"/>
    </row>
    <row r="126" spans="2:25" ht="15" customHeight="1">
      <c r="B126" s="306" t="s">
        <v>368</v>
      </c>
      <c r="C126" s="175"/>
      <c r="D126" s="424"/>
      <c r="E126" s="326"/>
      <c r="F126" s="467"/>
      <c r="G126" s="423">
        <v>5000000</v>
      </c>
      <c r="H126" s="312" t="s">
        <v>3</v>
      </c>
      <c r="I126" s="1086"/>
      <c r="J126" s="1087"/>
      <c r="K126" s="1087"/>
      <c r="L126" s="1087">
        <f>G126</f>
        <v>5000000</v>
      </c>
      <c r="M126" s="1087"/>
      <c r="N126" s="1088"/>
    </row>
    <row r="127" spans="2:25" ht="15" customHeight="1">
      <c r="B127" s="431" t="s">
        <v>197</v>
      </c>
      <c r="C127" s="471"/>
      <c r="D127" s="427"/>
      <c r="E127" s="472"/>
      <c r="F127" s="473"/>
      <c r="G127" s="430">
        <v>1000000</v>
      </c>
      <c r="H127" s="312" t="s">
        <v>3</v>
      </c>
      <c r="I127" s="1086"/>
      <c r="J127" s="1087"/>
      <c r="K127" s="1087"/>
      <c r="L127" s="1087"/>
      <c r="M127" s="1087"/>
      <c r="N127" s="1088">
        <f>G127</f>
        <v>1000000</v>
      </c>
    </row>
    <row r="128" spans="2:25" s="485" customFormat="1" ht="15" customHeight="1">
      <c r="B128" s="431" t="s">
        <v>198</v>
      </c>
      <c r="C128" s="474"/>
      <c r="D128" s="437"/>
      <c r="E128" s="438"/>
      <c r="F128" s="434"/>
      <c r="G128" s="435">
        <v>1000000</v>
      </c>
      <c r="H128" s="312" t="s">
        <v>3</v>
      </c>
      <c r="I128" s="1092"/>
      <c r="J128" s="1093"/>
      <c r="K128" s="1093"/>
      <c r="L128" s="1093"/>
      <c r="M128" s="1094"/>
      <c r="N128" s="1095">
        <f>G128</f>
        <v>1000000</v>
      </c>
    </row>
    <row r="129" spans="2:14" ht="15" customHeight="1">
      <c r="B129" s="1096"/>
      <c r="C129" s="1097"/>
      <c r="D129" s="427"/>
      <c r="E129" s="1098"/>
      <c r="F129" s="1099"/>
      <c r="G129" s="1100"/>
      <c r="I129" s="1086"/>
      <c r="J129" s="1087"/>
      <c r="K129" s="1087"/>
      <c r="L129" s="1087"/>
      <c r="M129" s="1087"/>
      <c r="N129" s="1088"/>
    </row>
    <row r="130" spans="2:14" ht="15" customHeight="1">
      <c r="B130" s="440" t="s">
        <v>182</v>
      </c>
      <c r="C130" s="175"/>
      <c r="D130" s="421"/>
      <c r="E130" s="497"/>
      <c r="F130" s="175"/>
      <c r="G130" s="498"/>
      <c r="I130" s="1086"/>
      <c r="J130" s="1087"/>
      <c r="K130" s="1087"/>
      <c r="L130" s="1087"/>
      <c r="M130" s="1087"/>
      <c r="N130" s="1088"/>
    </row>
    <row r="131" spans="2:14" ht="15" customHeight="1">
      <c r="B131" s="394" t="s">
        <v>199</v>
      </c>
      <c r="C131" s="175"/>
      <c r="D131" s="421"/>
      <c r="E131" s="497"/>
      <c r="F131" s="175"/>
      <c r="G131" s="423"/>
      <c r="I131" s="1086"/>
      <c r="J131" s="1087"/>
      <c r="K131" s="1087"/>
      <c r="L131" s="1087"/>
      <c r="M131" s="1087"/>
      <c r="N131" s="1088"/>
    </row>
    <row r="132" spans="2:14" ht="15" customHeight="1">
      <c r="B132" s="499" t="s">
        <v>200</v>
      </c>
      <c r="C132" s="175"/>
      <c r="D132" s="421"/>
      <c r="E132" s="497"/>
      <c r="F132" s="175"/>
      <c r="G132" s="423">
        <v>500000</v>
      </c>
      <c r="H132" s="141" t="s">
        <v>3</v>
      </c>
      <c r="I132" s="1086"/>
      <c r="J132" s="1087"/>
      <c r="K132" s="1087"/>
      <c r="L132" s="1087"/>
      <c r="M132" s="1087"/>
      <c r="N132" s="1088">
        <f>G132</f>
        <v>500000</v>
      </c>
    </row>
    <row r="133" spans="2:14" ht="15" customHeight="1">
      <c r="B133" s="499" t="s">
        <v>201</v>
      </c>
      <c r="C133" s="175"/>
      <c r="D133" s="500"/>
      <c r="E133" s="326"/>
      <c r="F133" s="175"/>
      <c r="G133" s="423">
        <v>300000</v>
      </c>
      <c r="H133" s="141" t="s">
        <v>3</v>
      </c>
      <c r="I133" s="1086"/>
      <c r="J133" s="1087"/>
      <c r="K133" s="1087"/>
      <c r="L133" s="1087"/>
      <c r="M133" s="1087">
        <f>G133</f>
        <v>300000</v>
      </c>
      <c r="N133" s="1088"/>
    </row>
    <row r="134" spans="2:14" ht="15" customHeight="1">
      <c r="B134" s="501"/>
      <c r="C134" s="471"/>
      <c r="D134" s="502"/>
      <c r="E134" s="472"/>
      <c r="F134" s="471"/>
      <c r="G134" s="430"/>
      <c r="I134" s="1101"/>
      <c r="J134" s="1102"/>
      <c r="K134" s="1102"/>
      <c r="L134" s="1102"/>
      <c r="M134" s="1102"/>
      <c r="N134" s="1103"/>
    </row>
    <row r="135" spans="2:14" ht="15" customHeight="1">
      <c r="B135" s="445" t="s">
        <v>202</v>
      </c>
      <c r="C135" s="446"/>
      <c r="D135" s="447"/>
      <c r="E135" s="448"/>
      <c r="F135" s="449"/>
      <c r="G135" s="1089">
        <f>SUM(G121:G132)</f>
        <v>33600000</v>
      </c>
      <c r="I135" s="1104"/>
      <c r="J135" s="1105"/>
      <c r="K135" s="1105"/>
      <c r="L135" s="1105"/>
      <c r="M135" s="1105"/>
      <c r="N135" s="1106"/>
    </row>
    <row r="136" spans="2:14" ht="15" customHeight="1">
      <c r="B136" s="486"/>
      <c r="C136" s="503"/>
      <c r="D136" s="504"/>
      <c r="E136" s="505"/>
      <c r="F136" s="506"/>
      <c r="G136" s="507"/>
      <c r="I136" s="962"/>
      <c r="J136" s="962"/>
      <c r="K136" s="962"/>
      <c r="L136" s="962"/>
      <c r="M136" s="962"/>
      <c r="N136" s="962"/>
    </row>
    <row r="137" spans="2:14" ht="15" customHeight="1">
      <c r="B137" s="508" t="s">
        <v>203</v>
      </c>
      <c r="C137" s="509"/>
      <c r="D137" s="510"/>
      <c r="E137" s="511"/>
      <c r="F137" s="512"/>
      <c r="G137" s="1077">
        <f>G118+G135</f>
        <v>38100000</v>
      </c>
      <c r="I137" s="962">
        <f t="shared" ref="I137:N137" si="4">SUM(I97:I135)</f>
        <v>0</v>
      </c>
      <c r="J137" s="962">
        <f t="shared" si="4"/>
        <v>0</v>
      </c>
      <c r="K137" s="962">
        <f t="shared" si="4"/>
        <v>1000000</v>
      </c>
      <c r="L137" s="962">
        <f t="shared" si="4"/>
        <v>27500000</v>
      </c>
      <c r="M137" s="962">
        <f t="shared" si="4"/>
        <v>3900000</v>
      </c>
      <c r="N137" s="962">
        <f t="shared" si="4"/>
        <v>2500000</v>
      </c>
    </row>
    <row r="138" spans="2:14" ht="15" customHeight="1">
      <c r="B138" s="513"/>
      <c r="C138" s="514"/>
      <c r="D138" s="515"/>
      <c r="E138" s="516" t="s">
        <v>154</v>
      </c>
      <c r="F138" s="517" t="s">
        <v>83</v>
      </c>
      <c r="G138" s="518">
        <f>G137/C35</f>
        <v>2671.9966337050282</v>
      </c>
    </row>
    <row r="139" spans="2:14" ht="15" customHeight="1">
      <c r="B139" s="343"/>
      <c r="C139" s="164"/>
      <c r="D139" s="344"/>
      <c r="E139" s="348"/>
      <c r="F139" s="346" t="s">
        <v>84</v>
      </c>
      <c r="G139" s="347">
        <f>G137/C16</f>
        <v>2452.526552944963</v>
      </c>
      <c r="N139" s="312"/>
    </row>
    <row r="140" spans="2:14" ht="15" customHeight="1" thickBot="1">
      <c r="B140" s="349"/>
      <c r="C140" s="350"/>
      <c r="D140" s="351"/>
      <c r="E140" s="352"/>
      <c r="F140" s="353" t="s">
        <v>155</v>
      </c>
      <c r="G140" s="354">
        <f>G137/G302</f>
        <v>2.3478252285968653E-2</v>
      </c>
      <c r="H140" s="141" t="s">
        <v>3</v>
      </c>
    </row>
    <row r="141" spans="2:14" ht="20" customHeight="1" thickBot="1">
      <c r="B141" s="164"/>
      <c r="C141" s="164"/>
      <c r="D141" s="344"/>
      <c r="E141" s="348"/>
      <c r="F141" s="346"/>
      <c r="G141" s="409"/>
      <c r="I141" s="141" t="s">
        <v>3</v>
      </c>
    </row>
    <row r="142" spans="2:14" ht="15" customHeight="1">
      <c r="B142" s="286" t="s">
        <v>204</v>
      </c>
      <c r="C142" s="287"/>
      <c r="D142" s="287"/>
      <c r="E142" s="287"/>
      <c r="F142" s="287"/>
      <c r="G142" s="412"/>
    </row>
    <row r="143" spans="2:14" ht="15" customHeight="1">
      <c r="B143" s="519" t="s">
        <v>531</v>
      </c>
      <c r="C143" s="520"/>
      <c r="D143" s="295"/>
      <c r="E143" s="521"/>
      <c r="F143" s="522"/>
      <c r="G143" s="523"/>
      <c r="I143" s="1107"/>
      <c r="J143" s="1108"/>
      <c r="K143" s="1108"/>
      <c r="L143" s="1108"/>
      <c r="M143" s="1065"/>
      <c r="N143" s="1066"/>
    </row>
    <row r="144" spans="2:14" ht="15" customHeight="1">
      <c r="B144" s="528" t="s">
        <v>205</v>
      </c>
      <c r="C144" s="537" t="s">
        <v>206</v>
      </c>
      <c r="D144" s="443" t="s">
        <v>207</v>
      </c>
      <c r="E144" s="530"/>
      <c r="F144" s="199"/>
      <c r="G144" s="531">
        <v>3000000</v>
      </c>
      <c r="I144" s="1109"/>
      <c r="J144" s="1110"/>
      <c r="K144" s="1110"/>
      <c r="L144" s="1110"/>
      <c r="M144" s="1070"/>
      <c r="N144" s="1071"/>
    </row>
    <row r="145" spans="2:14" ht="15" customHeight="1">
      <c r="B145" s="528" t="s">
        <v>208</v>
      </c>
      <c r="C145" s="175"/>
      <c r="D145" s="443" t="s">
        <v>81</v>
      </c>
      <c r="E145" s="530"/>
      <c r="F145" s="199"/>
      <c r="G145" s="531">
        <v>0</v>
      </c>
      <c r="I145" s="1109"/>
      <c r="J145" s="1110"/>
      <c r="K145" s="1110"/>
      <c r="L145" s="1110"/>
      <c r="M145" s="1070"/>
      <c r="N145" s="1071"/>
    </row>
    <row r="146" spans="2:14" ht="15" customHeight="1">
      <c r="B146" s="528" t="s">
        <v>209</v>
      </c>
      <c r="C146" s="537"/>
      <c r="D146" s="443" t="s">
        <v>207</v>
      </c>
      <c r="E146" s="530"/>
      <c r="F146" s="199"/>
      <c r="G146" s="531">
        <v>0</v>
      </c>
      <c r="I146" s="1109"/>
      <c r="J146" s="1110"/>
      <c r="K146" s="1110"/>
      <c r="L146" s="1110"/>
      <c r="M146" s="1070"/>
      <c r="N146" s="1071"/>
    </row>
    <row r="147" spans="2:14" ht="15" customHeight="1">
      <c r="B147" s="528"/>
      <c r="C147" s="537"/>
      <c r="D147" s="443" t="s">
        <v>207</v>
      </c>
      <c r="E147" s="530"/>
      <c r="F147" s="199"/>
      <c r="G147" s="531">
        <v>0</v>
      </c>
      <c r="I147" s="1109"/>
      <c r="J147" s="1110"/>
      <c r="K147" s="1110"/>
      <c r="L147" s="1110"/>
      <c r="M147" s="1070"/>
      <c r="N147" s="1071"/>
    </row>
    <row r="148" spans="2:14" ht="15" customHeight="1">
      <c r="B148" s="528" t="s">
        <v>210</v>
      </c>
      <c r="C148" s="537"/>
      <c r="D148" s="443" t="s">
        <v>207</v>
      </c>
      <c r="E148" s="530"/>
      <c r="F148" s="199"/>
      <c r="G148" s="531">
        <v>0</v>
      </c>
      <c r="I148" s="1109"/>
      <c r="J148" s="1110"/>
      <c r="K148" s="1110"/>
      <c r="L148" s="1110"/>
      <c r="M148" s="1070"/>
      <c r="N148" s="1071"/>
    </row>
    <row r="149" spans="2:14" ht="15" customHeight="1">
      <c r="B149" s="539" t="s">
        <v>211</v>
      </c>
      <c r="C149" s="569" t="s">
        <v>212</v>
      </c>
      <c r="D149" s="541" t="s">
        <v>207</v>
      </c>
      <c r="E149" s="490"/>
      <c r="F149" s="542"/>
      <c r="G149" s="543">
        <v>5000000</v>
      </c>
      <c r="I149" s="1086"/>
      <c r="J149" s="1087"/>
      <c r="K149" s="1087"/>
      <c r="L149" s="1087"/>
      <c r="M149" s="1087"/>
      <c r="N149" s="1088"/>
    </row>
    <row r="150" spans="2:14" ht="15" customHeight="1">
      <c r="B150" s="1111" t="s">
        <v>3</v>
      </c>
      <c r="C150" s="1112"/>
      <c r="D150" s="1113"/>
      <c r="E150" s="1114"/>
      <c r="F150" s="1114"/>
      <c r="G150" s="1115">
        <f>SUM(G144:G149)</f>
        <v>8000000</v>
      </c>
      <c r="I150" s="1086"/>
      <c r="J150" s="1087"/>
      <c r="K150" s="1087"/>
      <c r="L150" s="1087"/>
      <c r="M150" s="1087">
        <f>G150</f>
        <v>8000000</v>
      </c>
      <c r="N150" s="1088"/>
    </row>
    <row r="151" spans="2:14" ht="15" customHeight="1">
      <c r="B151" s="343"/>
      <c r="C151" s="580"/>
      <c r="D151" s="344"/>
      <c r="E151" s="678"/>
      <c r="F151" s="678"/>
      <c r="G151" s="553"/>
      <c r="I151" s="1086"/>
      <c r="J151" s="1087"/>
      <c r="K151" s="1087"/>
      <c r="L151" s="1087"/>
      <c r="M151" s="1087"/>
      <c r="N151" s="1088"/>
    </row>
    <row r="152" spans="2:14" ht="15" customHeight="1">
      <c r="B152" s="554" t="s">
        <v>213</v>
      </c>
      <c r="C152" s="555"/>
      <c r="D152" s="556"/>
      <c r="E152" s="557"/>
      <c r="F152" s="557"/>
      <c r="G152" s="558"/>
      <c r="I152" s="1086"/>
      <c r="J152" s="1087"/>
      <c r="K152" s="1087"/>
      <c r="L152" s="1087"/>
      <c r="M152" s="1087"/>
      <c r="N152" s="1088"/>
    </row>
    <row r="153" spans="2:14" ht="15" customHeight="1">
      <c r="B153" s="559" t="s">
        <v>79</v>
      </c>
      <c r="C153" s="560"/>
      <c r="D153" s="560" t="s">
        <v>214</v>
      </c>
      <c r="E153" s="1116" t="s">
        <v>3</v>
      </c>
      <c r="F153" s="1117" t="s">
        <v>3</v>
      </c>
      <c r="G153" s="563" t="s">
        <v>3</v>
      </c>
      <c r="I153" s="1086"/>
      <c r="J153" s="1087"/>
      <c r="K153" s="1087"/>
      <c r="L153" s="1087"/>
      <c r="M153" s="1087"/>
      <c r="N153" s="1088"/>
    </row>
    <row r="154" spans="2:14" ht="15" customHeight="1">
      <c r="B154" s="564" t="s">
        <v>76</v>
      </c>
      <c r="C154" s="565"/>
      <c r="D154" s="179" t="s">
        <v>81</v>
      </c>
      <c r="E154" s="1118">
        <f>+C21</f>
        <v>55926</v>
      </c>
      <c r="F154" s="1119">
        <v>11500</v>
      </c>
      <c r="G154" s="1120">
        <f>E154*F154</f>
        <v>643149000</v>
      </c>
      <c r="I154" s="1086"/>
      <c r="J154" s="1087"/>
      <c r="K154" s="1087"/>
      <c r="L154" s="1087"/>
      <c r="M154" s="1087"/>
      <c r="N154" s="1088"/>
    </row>
    <row r="155" spans="2:14" ht="15" customHeight="1">
      <c r="B155" s="564" t="s">
        <v>77</v>
      </c>
      <c r="C155" s="180"/>
      <c r="D155" s="179" t="s">
        <v>81</v>
      </c>
      <c r="E155" s="1118">
        <f>+C22</f>
        <v>15943.5</v>
      </c>
      <c r="F155" s="1119">
        <v>8500</v>
      </c>
      <c r="G155" s="1120">
        <f>E155*F155</f>
        <v>135519750</v>
      </c>
      <c r="I155" s="1086"/>
      <c r="J155" s="1087"/>
      <c r="K155" s="1087"/>
      <c r="L155" s="1087"/>
      <c r="M155" s="1087"/>
      <c r="N155" s="1088"/>
    </row>
    <row r="156" spans="2:14" ht="15" customHeight="1">
      <c r="B156" s="568"/>
      <c r="C156" s="569"/>
      <c r="D156" s="329"/>
      <c r="E156" s="570"/>
      <c r="F156" s="571"/>
      <c r="G156" s="572">
        <f>SUM(G153:G155)</f>
        <v>778668750</v>
      </c>
      <c r="I156" s="1086"/>
      <c r="J156" s="1087"/>
      <c r="K156" s="1087"/>
      <c r="L156" s="1087"/>
      <c r="M156" s="1087"/>
      <c r="N156" s="1088"/>
    </row>
    <row r="157" spans="2:14" ht="15" customHeight="1">
      <c r="B157" s="559" t="s">
        <v>215</v>
      </c>
      <c r="C157" s="573"/>
      <c r="D157" s="295"/>
      <c r="E157" s="574"/>
      <c r="F157" s="575"/>
      <c r="G157" s="576"/>
      <c r="I157" s="1086"/>
      <c r="J157" s="1087"/>
      <c r="K157" s="1087"/>
      <c r="L157" s="1087"/>
      <c r="M157" s="1087"/>
      <c r="N157" s="1088"/>
    </row>
    <row r="158" spans="2:14" ht="15" customHeight="1">
      <c r="B158" s="564" t="s">
        <v>369</v>
      </c>
      <c r="C158" s="565"/>
      <c r="D158" s="179" t="s">
        <v>73</v>
      </c>
      <c r="E158" s="1121">
        <f>C25</f>
        <v>12852</v>
      </c>
      <c r="F158" s="1122">
        <v>53000</v>
      </c>
      <c r="G158" s="1123">
        <f>E158*F158</f>
        <v>681156000</v>
      </c>
      <c r="I158" s="1086"/>
      <c r="J158" s="1087"/>
      <c r="K158" s="1087"/>
      <c r="L158" s="1087"/>
      <c r="M158" s="1087"/>
      <c r="N158" s="1088"/>
    </row>
    <row r="159" spans="2:14" ht="15" customHeight="1">
      <c r="B159" s="564" t="s">
        <v>217</v>
      </c>
      <c r="C159" s="565"/>
      <c r="D159" s="179" t="s">
        <v>73</v>
      </c>
      <c r="E159" s="1121">
        <f>C28</f>
        <v>1407</v>
      </c>
      <c r="F159" s="1122">
        <v>50000</v>
      </c>
      <c r="G159" s="1123">
        <f t="shared" ref="G159:G166" si="5">E159*F159</f>
        <v>70350000</v>
      </c>
      <c r="I159" s="1086"/>
      <c r="J159" s="1087"/>
      <c r="K159" s="1087"/>
      <c r="L159" s="1087"/>
      <c r="M159" s="1087"/>
      <c r="N159" s="1088"/>
    </row>
    <row r="160" spans="2:14" ht="15" customHeight="1">
      <c r="B160" s="564" t="s">
        <v>86</v>
      </c>
      <c r="C160" s="199"/>
      <c r="D160" s="179" t="s">
        <v>73</v>
      </c>
      <c r="E160" s="1121">
        <f>C27</f>
        <v>0</v>
      </c>
      <c r="F160" s="1122">
        <v>0</v>
      </c>
      <c r="G160" s="1123">
        <f t="shared" si="5"/>
        <v>0</v>
      </c>
      <c r="I160" s="1086"/>
      <c r="J160" s="1087"/>
      <c r="K160" s="1087"/>
      <c r="L160" s="1087"/>
      <c r="M160" s="1087"/>
      <c r="N160" s="1088"/>
    </row>
    <row r="161" spans="2:14" ht="15" customHeight="1">
      <c r="B161" s="564" t="s">
        <v>86</v>
      </c>
      <c r="C161" s="199"/>
      <c r="D161" s="179"/>
      <c r="E161" s="1121">
        <f>C28</f>
        <v>1407</v>
      </c>
      <c r="F161" s="1122">
        <v>0</v>
      </c>
      <c r="G161" s="1123">
        <f t="shared" si="5"/>
        <v>0</v>
      </c>
      <c r="I161" s="1086"/>
      <c r="J161" s="1087"/>
      <c r="K161" s="1087"/>
      <c r="L161" s="1087"/>
      <c r="M161" s="1087"/>
      <c r="N161" s="1088"/>
    </row>
    <row r="162" spans="2:14" ht="15" customHeight="1">
      <c r="B162" s="564" t="s">
        <v>218</v>
      </c>
      <c r="C162" s="199"/>
      <c r="D162" s="179" t="s">
        <v>73</v>
      </c>
      <c r="E162" s="1121">
        <f>C29</f>
        <v>0</v>
      </c>
      <c r="F162" s="1122">
        <v>0</v>
      </c>
      <c r="G162" s="1123">
        <f t="shared" si="5"/>
        <v>0</v>
      </c>
      <c r="I162" s="1086"/>
      <c r="J162" s="1087"/>
      <c r="K162" s="1087"/>
      <c r="L162" s="1087"/>
      <c r="M162" s="1087"/>
      <c r="N162" s="1088"/>
    </row>
    <row r="163" spans="2:14" ht="15" customHeight="1">
      <c r="B163" s="564" t="s">
        <v>219</v>
      </c>
      <c r="C163" s="199"/>
      <c r="D163" s="179" t="s">
        <v>73</v>
      </c>
      <c r="E163" s="1121">
        <f>C30</f>
        <v>0</v>
      </c>
      <c r="F163" s="1122">
        <v>0</v>
      </c>
      <c r="G163" s="1123">
        <f t="shared" si="5"/>
        <v>0</v>
      </c>
      <c r="I163" s="1086"/>
      <c r="J163" s="1087"/>
      <c r="K163" s="1087"/>
      <c r="L163" s="1087"/>
      <c r="M163" s="1087"/>
      <c r="N163" s="1088"/>
    </row>
    <row r="164" spans="2:14" ht="15" customHeight="1">
      <c r="B164" s="564" t="s">
        <v>220</v>
      </c>
      <c r="C164" s="199"/>
      <c r="D164" s="179" t="s">
        <v>91</v>
      </c>
      <c r="E164" s="1121">
        <f>C31</f>
        <v>0</v>
      </c>
      <c r="F164" s="1122">
        <v>0</v>
      </c>
      <c r="G164" s="1123">
        <f t="shared" si="5"/>
        <v>0</v>
      </c>
      <c r="I164" s="1086"/>
      <c r="J164" s="1087"/>
      <c r="K164" s="1087"/>
      <c r="L164" s="1087"/>
      <c r="M164" s="1087"/>
      <c r="N164" s="1088"/>
    </row>
    <row r="165" spans="2:14" ht="15" customHeight="1">
      <c r="B165" s="564" t="s">
        <v>221</v>
      </c>
      <c r="C165" s="199"/>
      <c r="D165" s="179" t="s">
        <v>91</v>
      </c>
      <c r="E165" s="1121">
        <v>78</v>
      </c>
      <c r="F165" s="1122">
        <v>450000</v>
      </c>
      <c r="G165" s="1123">
        <f t="shared" si="5"/>
        <v>35100000</v>
      </c>
      <c r="I165" s="1086"/>
      <c r="J165" s="1087"/>
      <c r="K165" s="1087"/>
      <c r="L165" s="1087"/>
      <c r="M165" s="1087"/>
      <c r="N165" s="1088"/>
    </row>
    <row r="166" spans="2:14" ht="15" customHeight="1">
      <c r="B166" s="564" t="s">
        <v>95</v>
      </c>
      <c r="C166" s="199"/>
      <c r="D166" s="179" t="s">
        <v>91</v>
      </c>
      <c r="E166" s="1121">
        <f>+C34</f>
        <v>0</v>
      </c>
      <c r="F166" s="1122">
        <v>0</v>
      </c>
      <c r="G166" s="1123">
        <f t="shared" si="5"/>
        <v>0</v>
      </c>
      <c r="I166" s="1086"/>
      <c r="J166" s="1087"/>
      <c r="K166" s="1087"/>
      <c r="L166" s="1087"/>
      <c r="M166" s="1087"/>
      <c r="N166" s="1088"/>
    </row>
    <row r="167" spans="2:14" ht="15" customHeight="1">
      <c r="B167" s="568"/>
      <c r="C167" s="569"/>
      <c r="D167" s="329"/>
      <c r="E167" s="570"/>
      <c r="F167" s="571"/>
      <c r="G167" s="572">
        <f>SUM(G158:G166)</f>
        <v>786606000</v>
      </c>
      <c r="I167" s="1086"/>
      <c r="J167" s="1087"/>
      <c r="K167" s="1087"/>
      <c r="L167" s="1087"/>
      <c r="M167" s="1087"/>
      <c r="N167" s="1088"/>
    </row>
    <row r="168" spans="2:14" ht="15" customHeight="1">
      <c r="B168" s="579"/>
      <c r="C168" s="580"/>
      <c r="D168" s="344"/>
      <c r="E168" s="581"/>
      <c r="F168" s="582"/>
      <c r="G168" s="583"/>
      <c r="I168" s="1086"/>
      <c r="J168" s="1087"/>
      <c r="K168" s="1087"/>
      <c r="L168" s="1087"/>
      <c r="M168" s="1087"/>
      <c r="N168" s="1088"/>
    </row>
    <row r="169" spans="2:14" ht="15" customHeight="1">
      <c r="B169" s="579"/>
      <c r="C169" s="580"/>
      <c r="D169" s="344"/>
      <c r="E169" s="584"/>
      <c r="F169" s="585" t="s">
        <v>222</v>
      </c>
      <c r="G169" s="586">
        <f>(G156+G167)/2</f>
        <v>782637375</v>
      </c>
      <c r="I169" s="1086"/>
      <c r="J169" s="1087"/>
      <c r="K169" s="1087"/>
      <c r="L169" s="1087"/>
      <c r="M169" s="1087">
        <f>G169</f>
        <v>782637375</v>
      </c>
      <c r="N169" s="1088"/>
    </row>
    <row r="170" spans="2:14" ht="15" customHeight="1">
      <c r="B170" s="579"/>
      <c r="C170" s="580"/>
      <c r="D170" s="344"/>
      <c r="E170" s="584"/>
      <c r="F170" s="585"/>
      <c r="G170" s="591"/>
      <c r="I170" s="1086"/>
      <c r="J170" s="1087"/>
      <c r="K170" s="1087"/>
      <c r="L170" s="1087"/>
      <c r="M170" s="1087"/>
      <c r="N170" s="1088"/>
    </row>
    <row r="171" spans="2:14" ht="15" customHeight="1">
      <c r="B171" s="519" t="s">
        <v>223</v>
      </c>
      <c r="C171" s="520"/>
      <c r="D171" s="295"/>
      <c r="E171" s="521"/>
      <c r="F171" s="522"/>
      <c r="G171" s="592"/>
      <c r="I171" s="1086"/>
      <c r="J171" s="1087"/>
      <c r="K171" s="1087"/>
      <c r="L171" s="1087"/>
      <c r="M171" s="1087"/>
      <c r="N171" s="1088"/>
    </row>
    <row r="172" spans="2:14" ht="15" customHeight="1">
      <c r="B172" s="593" t="s">
        <v>224</v>
      </c>
      <c r="C172" s="537"/>
      <c r="D172" s="443" t="s">
        <v>73</v>
      </c>
      <c r="E172" s="180">
        <v>0</v>
      </c>
      <c r="F172" s="578">
        <v>0</v>
      </c>
      <c r="G172" s="531">
        <v>2500000</v>
      </c>
      <c r="I172" s="1086"/>
      <c r="J172" s="1087"/>
      <c r="K172" s="1087"/>
      <c r="L172" s="1087"/>
      <c r="M172" s="1087">
        <f>G172</f>
        <v>2500000</v>
      </c>
      <c r="N172" s="1088"/>
    </row>
    <row r="173" spans="2:14" ht="15" customHeight="1">
      <c r="B173" s="593" t="s">
        <v>370</v>
      </c>
      <c r="C173" s="537"/>
      <c r="D173" s="443" t="s">
        <v>73</v>
      </c>
      <c r="E173" s="180">
        <v>0</v>
      </c>
      <c r="F173" s="578">
        <v>0</v>
      </c>
      <c r="G173" s="531">
        <v>2500000</v>
      </c>
      <c r="I173" s="1086"/>
      <c r="J173" s="1087"/>
      <c r="K173" s="1087"/>
      <c r="L173" s="1087"/>
      <c r="M173" s="1087">
        <f>G173</f>
        <v>2500000</v>
      </c>
      <c r="N173" s="1088"/>
    </row>
    <row r="174" spans="2:14" ht="15" customHeight="1">
      <c r="B174" s="568"/>
      <c r="C174" s="569"/>
      <c r="D174" s="541" t="s">
        <v>3</v>
      </c>
      <c r="E174" s="594" t="s">
        <v>3</v>
      </c>
      <c r="F174" s="571"/>
      <c r="G174" s="1124">
        <f>SUM(G172:G173)</f>
        <v>5000000</v>
      </c>
      <c r="I174" s="1086"/>
      <c r="J174" s="1087"/>
      <c r="K174" s="1087"/>
      <c r="L174" s="1087"/>
      <c r="M174" s="1087"/>
      <c r="N174" s="1088"/>
    </row>
    <row r="175" spans="2:14" ht="15" customHeight="1">
      <c r="B175" s="596"/>
      <c r="C175" s="550"/>
      <c r="D175" s="597"/>
      <c r="E175" s="598"/>
      <c r="F175" s="599"/>
      <c r="G175" s="600"/>
      <c r="I175" s="1086"/>
      <c r="J175" s="1087"/>
      <c r="K175" s="1087"/>
      <c r="L175" s="1087"/>
      <c r="M175" s="1087"/>
      <c r="N175" s="1088"/>
    </row>
    <row r="176" spans="2:14" ht="15" customHeight="1">
      <c r="B176" s="601" t="s">
        <v>228</v>
      </c>
      <c r="C176" s="550"/>
      <c r="D176" s="597" t="s">
        <v>229</v>
      </c>
      <c r="E176" s="602">
        <v>1.4999999999999999E-2</v>
      </c>
      <c r="F176" s="1125">
        <f>G150+G169+G174</f>
        <v>795637375</v>
      </c>
      <c r="G176" s="603">
        <f>F176*E176</f>
        <v>11934560.625</v>
      </c>
      <c r="I176" s="1086"/>
      <c r="J176" s="1087"/>
      <c r="K176" s="1087"/>
      <c r="L176" s="1087"/>
      <c r="M176" s="1087">
        <f>G176</f>
        <v>11934560.625</v>
      </c>
      <c r="N176" s="1088"/>
    </row>
    <row r="177" spans="2:25" ht="15" customHeight="1">
      <c r="B177" s="601"/>
      <c r="C177" s="550"/>
      <c r="D177" s="597"/>
      <c r="E177" s="602"/>
      <c r="F177" s="604"/>
      <c r="G177" s="605"/>
      <c r="I177" s="1086"/>
      <c r="J177" s="1087"/>
      <c r="K177" s="1087"/>
      <c r="L177" s="1087"/>
      <c r="M177" s="1087"/>
      <c r="N177" s="1088"/>
    </row>
    <row r="178" spans="2:25" ht="15" customHeight="1">
      <c r="B178" s="445" t="s">
        <v>230</v>
      </c>
      <c r="C178" s="446"/>
      <c r="D178" s="447"/>
      <c r="E178" s="448"/>
      <c r="F178" s="449"/>
      <c r="G178" s="450">
        <f>G176+G174+G169+G150</f>
        <v>807571935.625</v>
      </c>
      <c r="I178" s="1086"/>
      <c r="J178" s="1087"/>
      <c r="K178" s="1087"/>
      <c r="L178" s="1087"/>
      <c r="M178" s="1087"/>
      <c r="N178" s="1088"/>
    </row>
    <row r="179" spans="2:25" ht="15" customHeight="1">
      <c r="B179" s="607"/>
      <c r="C179" s="608"/>
      <c r="D179" s="515"/>
      <c r="E179" s="609" t="s">
        <v>154</v>
      </c>
      <c r="F179" s="610" t="s">
        <v>83</v>
      </c>
      <c r="G179" s="611">
        <f>G178/C35</f>
        <v>56635.944710358373</v>
      </c>
      <c r="I179" s="1086"/>
      <c r="J179" s="1087"/>
      <c r="K179" s="1087"/>
      <c r="L179" s="1087"/>
      <c r="M179" s="1087"/>
      <c r="N179" s="1088"/>
    </row>
    <row r="180" spans="2:25" ht="15" customHeight="1">
      <c r="B180" s="612"/>
      <c r="C180" s="580"/>
      <c r="D180" s="344"/>
      <c r="E180" s="348"/>
      <c r="F180" s="613" t="s">
        <v>84</v>
      </c>
      <c r="G180" s="614">
        <f>G178/(C16+C17)</f>
        <v>42330.010253957436</v>
      </c>
      <c r="I180" s="1086"/>
      <c r="J180" s="1087"/>
      <c r="K180" s="1087"/>
      <c r="L180" s="1087"/>
      <c r="M180" s="1087"/>
      <c r="N180" s="1088"/>
    </row>
    <row r="181" spans="2:25" ht="15" customHeight="1">
      <c r="B181" s="612"/>
      <c r="C181" s="580"/>
      <c r="D181" s="344"/>
      <c r="E181" s="348"/>
      <c r="F181" s="613" t="s">
        <v>231</v>
      </c>
      <c r="G181" s="614">
        <f>G178/(C19)</f>
        <v>11236.643299661191</v>
      </c>
      <c r="I181" s="1086"/>
      <c r="J181" s="1087"/>
      <c r="K181" s="1087"/>
      <c r="L181" s="1087"/>
      <c r="M181" s="1087"/>
      <c r="N181" s="1088"/>
    </row>
    <row r="182" spans="2:25" ht="15" customHeight="1">
      <c r="B182" s="596"/>
      <c r="C182" s="550"/>
      <c r="D182" s="551"/>
      <c r="E182" s="615"/>
      <c r="F182" s="616" t="s">
        <v>155</v>
      </c>
      <c r="G182" s="617">
        <f>G178/G302</f>
        <v>0.49764770718298651</v>
      </c>
      <c r="I182" s="1086"/>
      <c r="J182" s="1087"/>
      <c r="K182" s="1087"/>
      <c r="L182" s="1087"/>
      <c r="M182" s="1087"/>
      <c r="N182" s="1088"/>
    </row>
    <row r="183" spans="2:25" ht="15" customHeight="1">
      <c r="B183" s="612"/>
      <c r="C183" s="580"/>
      <c r="D183" s="344"/>
      <c r="E183" s="581"/>
      <c r="F183" s="582"/>
      <c r="G183" s="618"/>
      <c r="I183" s="1126"/>
      <c r="J183" s="1126"/>
      <c r="K183" s="1126"/>
      <c r="L183" s="1126"/>
      <c r="M183" s="1126"/>
      <c r="N183" s="1126"/>
    </row>
    <row r="184" spans="2:25" ht="15" customHeight="1">
      <c r="B184" s="619" t="s">
        <v>232</v>
      </c>
      <c r="C184" s="620"/>
      <c r="D184" s="621"/>
      <c r="E184" s="622"/>
      <c r="F184" s="623"/>
      <c r="G184" s="624"/>
      <c r="I184" s="1086"/>
      <c r="J184" s="1087"/>
      <c r="K184" s="1087"/>
      <c r="L184" s="1087"/>
      <c r="M184" s="1087"/>
      <c r="N184" s="1088"/>
    </row>
    <row r="185" spans="2:25" ht="15" customHeight="1">
      <c r="B185" s="625" t="s">
        <v>233</v>
      </c>
      <c r="C185" s="537"/>
      <c r="D185" s="308" t="s">
        <v>229</v>
      </c>
      <c r="E185" s="627">
        <v>2.5000000000000001E-2</v>
      </c>
      <c r="F185" s="1127">
        <f>G174+G169+G150</f>
        <v>795637375</v>
      </c>
      <c r="G185" s="1128">
        <f>E185*F185</f>
        <v>19890934.375</v>
      </c>
      <c r="H185" s="141" t="s">
        <v>3</v>
      </c>
      <c r="I185" s="1086"/>
      <c r="J185" s="1087"/>
      <c r="K185" s="1087"/>
      <c r="L185" s="1087"/>
      <c r="M185" s="1087">
        <f>G185</f>
        <v>19890934.375</v>
      </c>
      <c r="N185" s="1088"/>
      <c r="O185" s="632"/>
      <c r="P185" s="632"/>
      <c r="Q185" s="632"/>
      <c r="R185" s="632"/>
      <c r="S185" s="632"/>
      <c r="T185" s="632"/>
      <c r="U185" s="632"/>
      <c r="V185" s="632"/>
      <c r="W185" s="632"/>
      <c r="X185" s="632"/>
      <c r="Y185" s="632"/>
    </row>
    <row r="186" spans="2:25" ht="15" customHeight="1">
      <c r="B186" s="633" t="s">
        <v>234</v>
      </c>
      <c r="C186" s="569"/>
      <c r="D186" s="329" t="s">
        <v>229</v>
      </c>
      <c r="E186" s="635">
        <v>2.5000000000000001E-2</v>
      </c>
      <c r="F186" s="1129">
        <f>G150+G169+G174</f>
        <v>795637375</v>
      </c>
      <c r="G186" s="1130">
        <f>F186*E186</f>
        <v>19890934.375</v>
      </c>
      <c r="I186" s="1086"/>
      <c r="J186" s="1087"/>
      <c r="K186" s="1087"/>
      <c r="L186" s="1087"/>
      <c r="M186" s="1087">
        <f>G186</f>
        <v>19890934.375</v>
      </c>
      <c r="N186" s="1088"/>
      <c r="O186" s="632"/>
      <c r="P186" s="632"/>
      <c r="Q186" s="632"/>
      <c r="R186" s="632"/>
      <c r="S186" s="632"/>
      <c r="T186" s="632"/>
      <c r="U186" s="632"/>
      <c r="V186" s="632"/>
      <c r="W186" s="632"/>
      <c r="X186" s="632"/>
      <c r="Y186" s="632"/>
    </row>
    <row r="187" spans="2:25" ht="15" customHeight="1">
      <c r="B187" s="637"/>
      <c r="C187" s="638"/>
      <c r="D187" s="639"/>
      <c r="E187" s="640"/>
      <c r="F187" s="641"/>
      <c r="G187" s="642"/>
      <c r="I187" s="1086"/>
      <c r="J187" s="1087"/>
      <c r="K187" s="1087"/>
      <c r="L187" s="1087"/>
      <c r="M187" s="1087"/>
      <c r="N187" s="1088"/>
      <c r="O187" s="632"/>
      <c r="P187" s="632"/>
      <c r="Q187" s="632"/>
      <c r="R187" s="632"/>
      <c r="S187" s="632"/>
      <c r="T187" s="632"/>
      <c r="U187" s="632"/>
      <c r="V187" s="632"/>
      <c r="W187" s="632"/>
      <c r="X187" s="632"/>
      <c r="Y187" s="632"/>
    </row>
    <row r="188" spans="2:25" ht="15" customHeight="1">
      <c r="B188" s="445" t="s">
        <v>235</v>
      </c>
      <c r="C188" s="446"/>
      <c r="D188" s="447"/>
      <c r="E188" s="448"/>
      <c r="F188" s="449"/>
      <c r="G188" s="1089">
        <f>SUM(G185:G186)</f>
        <v>39781868.75</v>
      </c>
      <c r="I188" s="1086"/>
      <c r="J188" s="1087"/>
      <c r="K188" s="1087"/>
      <c r="L188" s="1087"/>
      <c r="M188" s="1087"/>
      <c r="N188" s="1088"/>
      <c r="O188" s="632"/>
      <c r="P188" s="632"/>
      <c r="Q188" s="632"/>
      <c r="R188" s="632"/>
      <c r="S188" s="632"/>
      <c r="T188" s="632"/>
      <c r="U188" s="632"/>
      <c r="V188" s="632"/>
      <c r="W188" s="632"/>
      <c r="X188" s="632"/>
      <c r="Y188" s="632"/>
    </row>
    <row r="189" spans="2:25" ht="15" customHeight="1">
      <c r="B189" s="644"/>
      <c r="D189" s="645"/>
      <c r="E189" s="646"/>
      <c r="F189" s="647"/>
      <c r="G189" s="553"/>
      <c r="I189" s="1126"/>
      <c r="J189" s="1126"/>
      <c r="K189" s="1126"/>
      <c r="L189" s="1126"/>
      <c r="M189" s="1126"/>
      <c r="N189" s="1126"/>
      <c r="O189" s="632"/>
      <c r="P189" s="632"/>
      <c r="Q189" s="632"/>
      <c r="R189" s="632"/>
      <c r="S189" s="632"/>
      <c r="T189" s="632"/>
      <c r="U189" s="632"/>
      <c r="V189" s="632"/>
      <c r="W189" s="632"/>
      <c r="X189" s="632"/>
      <c r="Y189" s="632"/>
    </row>
    <row r="190" spans="2:25" ht="15" customHeight="1">
      <c r="B190" s="619" t="s">
        <v>236</v>
      </c>
      <c r="C190" s="620"/>
      <c r="D190" s="621"/>
      <c r="E190" s="622"/>
      <c r="F190" s="623"/>
      <c r="G190" s="624"/>
      <c r="I190" s="1086"/>
      <c r="J190" s="1087"/>
      <c r="K190" s="1087"/>
      <c r="L190" s="1087"/>
      <c r="M190" s="1087"/>
      <c r="N190" s="1088"/>
      <c r="O190" s="632"/>
      <c r="P190" s="632"/>
      <c r="Q190" s="632"/>
      <c r="R190" s="632"/>
      <c r="S190" s="632"/>
      <c r="T190" s="632"/>
      <c r="U190" s="632"/>
      <c r="V190" s="632"/>
      <c r="W190" s="632"/>
      <c r="X190" s="632"/>
      <c r="Y190" s="632"/>
    </row>
    <row r="191" spans="2:25" ht="15" customHeight="1">
      <c r="B191" s="648" t="s">
        <v>371</v>
      </c>
      <c r="C191" s="1131"/>
      <c r="D191" s="650" t="s">
        <v>229</v>
      </c>
      <c r="E191" s="651">
        <v>2.5000000000000001E-2</v>
      </c>
      <c r="F191" s="1132">
        <f>G169+G176+G185+G186</f>
        <v>834353804.375</v>
      </c>
      <c r="G191" s="1133">
        <f>F191*E191</f>
        <v>20858845.109375</v>
      </c>
      <c r="I191" s="1086"/>
      <c r="J191" s="1087"/>
      <c r="K191" s="1087"/>
      <c r="L191" s="1087"/>
      <c r="M191" s="1087">
        <f>G191</f>
        <v>20858845.109375</v>
      </c>
      <c r="N191" s="1088"/>
    </row>
    <row r="192" spans="2:25" ht="15" customHeight="1">
      <c r="B192" s="654"/>
      <c r="C192" s="655"/>
      <c r="D192" s="656"/>
      <c r="E192" s="657"/>
      <c r="F192" s="658"/>
      <c r="G192" s="491"/>
      <c r="I192" s="1086"/>
      <c r="J192" s="1087"/>
      <c r="K192" s="1087"/>
      <c r="L192" s="1087"/>
      <c r="M192" s="1087"/>
      <c r="N192" s="1088"/>
    </row>
    <row r="193" spans="2:14" ht="15" customHeight="1">
      <c r="B193" s="445" t="s">
        <v>239</v>
      </c>
      <c r="C193" s="446"/>
      <c r="D193" s="447"/>
      <c r="E193" s="448"/>
      <c r="F193" s="449"/>
      <c r="G193" s="1089">
        <f>SUM(G191:G192)</f>
        <v>20858845.109375</v>
      </c>
      <c r="I193" s="1086"/>
      <c r="J193" s="1087"/>
      <c r="K193" s="1087"/>
      <c r="L193" s="1087"/>
      <c r="M193" s="1087"/>
      <c r="N193" s="1088"/>
    </row>
    <row r="194" spans="2:14" ht="15" customHeight="1">
      <c r="B194" s="659"/>
      <c r="C194" s="660"/>
      <c r="D194" s="661"/>
      <c r="E194" s="662"/>
      <c r="F194" s="663"/>
      <c r="G194" s="664"/>
      <c r="I194" s="1134"/>
      <c r="J194" s="1134"/>
      <c r="K194" s="1134"/>
      <c r="L194" s="1134"/>
      <c r="M194" s="1134"/>
      <c r="N194" s="1134"/>
    </row>
    <row r="195" spans="2:14" ht="15" customHeight="1">
      <c r="B195" s="596"/>
      <c r="C195" s="550"/>
      <c r="D195" s="551" t="s">
        <v>3</v>
      </c>
      <c r="E195" s="552" t="s">
        <v>5</v>
      </c>
      <c r="F195" s="552"/>
      <c r="G195" s="665"/>
      <c r="I195" s="1134"/>
      <c r="J195" s="1134"/>
      <c r="K195" s="1134"/>
      <c r="L195" s="1134"/>
      <c r="M195" s="1134"/>
      <c r="N195" s="1134"/>
    </row>
    <row r="196" spans="2:14" ht="15" customHeight="1">
      <c r="B196" s="508" t="s">
        <v>372</v>
      </c>
      <c r="C196" s="509"/>
      <c r="D196" s="510"/>
      <c r="E196" s="511"/>
      <c r="F196" s="512"/>
      <c r="G196" s="1077">
        <f>G178+G188+G193</f>
        <v>868212649.484375</v>
      </c>
      <c r="H196" s="149"/>
      <c r="I196" s="1104"/>
      <c r="J196" s="1105"/>
      <c r="K196" s="1105"/>
      <c r="L196" s="1105"/>
      <c r="M196" s="1105"/>
      <c r="N196" s="1106"/>
    </row>
    <row r="197" spans="2:14" ht="15" customHeight="1">
      <c r="B197" s="607"/>
      <c r="C197" s="608"/>
      <c r="D197" s="515"/>
      <c r="E197" s="516" t="s">
        <v>154</v>
      </c>
      <c r="F197" s="517" t="s">
        <v>83</v>
      </c>
      <c r="G197" s="611">
        <f>G196/(C25+C26+C27+C28)</f>
        <v>60888.747421584616</v>
      </c>
      <c r="I197" s="582">
        <f t="shared" ref="I197:N197" si="6">SUM(I143:I196)</f>
        <v>0</v>
      </c>
      <c r="J197" s="582">
        <f t="shared" si="6"/>
        <v>0</v>
      </c>
      <c r="K197" s="582">
        <f t="shared" si="6"/>
        <v>0</v>
      </c>
      <c r="L197" s="582">
        <f t="shared" si="6"/>
        <v>0</v>
      </c>
      <c r="M197" s="582">
        <f t="shared" si="6"/>
        <v>868212649.484375</v>
      </c>
      <c r="N197" s="582">
        <f t="shared" si="6"/>
        <v>0</v>
      </c>
    </row>
    <row r="198" spans="2:14" ht="15" customHeight="1">
      <c r="B198" s="612"/>
      <c r="C198" s="580"/>
      <c r="D198" s="344"/>
      <c r="E198" s="348"/>
      <c r="F198" s="346" t="s">
        <v>84</v>
      </c>
      <c r="G198" s="614">
        <f>G196/C16</f>
        <v>55887.521691945607</v>
      </c>
      <c r="I198" s="794"/>
      <c r="J198" s="794"/>
      <c r="K198" s="794"/>
      <c r="L198" s="794"/>
      <c r="M198" s="1135"/>
      <c r="N198" s="1135"/>
    </row>
    <row r="199" spans="2:14" ht="15" customHeight="1">
      <c r="B199" s="612"/>
      <c r="C199" s="580"/>
      <c r="D199" s="344"/>
      <c r="E199" s="348"/>
      <c r="F199" s="346" t="s">
        <v>231</v>
      </c>
      <c r="G199" s="614">
        <f>G196/(C21+C22)</f>
        <v>12080.404754233368</v>
      </c>
      <c r="I199" s="794"/>
      <c r="J199" s="794"/>
      <c r="K199" s="794"/>
      <c r="L199" s="794"/>
      <c r="M199" s="794"/>
      <c r="N199" s="794"/>
    </row>
    <row r="200" spans="2:14" ht="15" customHeight="1" thickBot="1">
      <c r="B200" s="669"/>
      <c r="C200" s="670"/>
      <c r="D200" s="351"/>
      <c r="E200" s="352"/>
      <c r="F200" s="353" t="s">
        <v>155</v>
      </c>
      <c r="G200" s="671">
        <f>G196/G302</f>
        <v>0.53501615806990632</v>
      </c>
      <c r="I200" s="794"/>
      <c r="J200" s="794"/>
      <c r="K200" s="794"/>
      <c r="L200" s="794"/>
      <c r="M200" s="794"/>
      <c r="N200" s="794"/>
    </row>
    <row r="201" spans="2:14" ht="20" customHeight="1" thickBot="1">
      <c r="B201" s="677"/>
      <c r="C201" s="580"/>
      <c r="D201" s="344"/>
      <c r="E201" s="678"/>
      <c r="F201" s="678"/>
      <c r="G201" s="409"/>
      <c r="H201" s="679"/>
    </row>
    <row r="202" spans="2:14" ht="15" customHeight="1">
      <c r="B202" s="286" t="s">
        <v>241</v>
      </c>
      <c r="C202" s="287"/>
      <c r="D202" s="287"/>
      <c r="E202" s="287"/>
      <c r="F202" s="287"/>
      <c r="G202" s="412"/>
      <c r="I202" s="1136"/>
      <c r="J202" s="1137"/>
      <c r="K202" s="1137"/>
      <c r="L202" s="1137"/>
      <c r="M202" s="1137"/>
      <c r="N202" s="1138"/>
    </row>
    <row r="203" spans="2:14" ht="15" customHeight="1">
      <c r="B203" s="685" t="s">
        <v>242</v>
      </c>
      <c r="C203" s="294" t="s">
        <v>243</v>
      </c>
      <c r="D203" s="686" t="s">
        <v>229</v>
      </c>
      <c r="E203" s="687">
        <v>0.01</v>
      </c>
      <c r="F203" s="688">
        <f>G196</f>
        <v>868212649.484375</v>
      </c>
      <c r="G203" s="1139">
        <f>E203*F203</f>
        <v>8682126.4948437493</v>
      </c>
      <c r="H203" s="219"/>
      <c r="I203" s="1086"/>
      <c r="J203" s="1087"/>
      <c r="K203" s="1087"/>
      <c r="L203" s="1087"/>
      <c r="M203" s="1087">
        <f t="shared" ref="M203:M209" si="7">G203</f>
        <v>8682126.4948437493</v>
      </c>
      <c r="N203" s="1088"/>
    </row>
    <row r="204" spans="2:14" ht="15" customHeight="1">
      <c r="B204" s="593" t="s">
        <v>244</v>
      </c>
      <c r="C204" s="955"/>
      <c r="D204" s="443" t="s">
        <v>245</v>
      </c>
      <c r="E204" s="180">
        <v>24</v>
      </c>
      <c r="F204" s="578">
        <v>30000</v>
      </c>
      <c r="G204" s="1123">
        <f>E204*F204</f>
        <v>720000</v>
      </c>
      <c r="I204" s="1086"/>
      <c r="J204" s="1087"/>
      <c r="K204" s="1087"/>
      <c r="L204" s="1087"/>
      <c r="M204" s="1087">
        <f t="shared" si="7"/>
        <v>720000</v>
      </c>
      <c r="N204" s="1088"/>
    </row>
    <row r="205" spans="2:14" ht="15" customHeight="1">
      <c r="B205" s="593" t="s">
        <v>246</v>
      </c>
      <c r="C205" s="955" t="s">
        <v>373</v>
      </c>
      <c r="D205" s="443" t="s">
        <v>245</v>
      </c>
      <c r="E205" s="180">
        <v>2</v>
      </c>
      <c r="F205" s="578">
        <v>150000</v>
      </c>
      <c r="G205" s="531">
        <f>E205*F205</f>
        <v>300000</v>
      </c>
      <c r="I205" s="1086"/>
      <c r="J205" s="1087"/>
      <c r="K205" s="1087"/>
      <c r="L205" s="1087"/>
      <c r="M205" s="1087">
        <f t="shared" si="7"/>
        <v>300000</v>
      </c>
      <c r="N205" s="1088"/>
    </row>
    <row r="206" spans="2:14" ht="15" customHeight="1">
      <c r="B206" s="593" t="s">
        <v>248</v>
      </c>
      <c r="C206" s="955"/>
      <c r="D206" s="443" t="s">
        <v>229</v>
      </c>
      <c r="E206" s="690"/>
      <c r="F206" s="578">
        <v>0</v>
      </c>
      <c r="G206" s="1123">
        <v>500000</v>
      </c>
      <c r="I206" s="1086"/>
      <c r="J206" s="1087"/>
      <c r="K206" s="1087"/>
      <c r="L206" s="1087"/>
      <c r="M206" s="1087">
        <f t="shared" si="7"/>
        <v>500000</v>
      </c>
      <c r="N206" s="1088"/>
    </row>
    <row r="207" spans="2:14" ht="15" customHeight="1">
      <c r="B207" s="528" t="s">
        <v>249</v>
      </c>
      <c r="C207" s="955"/>
      <c r="D207" s="443" t="s">
        <v>207</v>
      </c>
      <c r="E207" s="691"/>
      <c r="F207" s="578"/>
      <c r="G207" s="531">
        <v>500000</v>
      </c>
      <c r="I207" s="1086"/>
      <c r="J207" s="1087"/>
      <c r="K207" s="1087"/>
      <c r="L207" s="1087"/>
      <c r="M207" s="1087">
        <f t="shared" si="7"/>
        <v>500000</v>
      </c>
      <c r="N207" s="1088"/>
    </row>
    <row r="208" spans="2:14" ht="15" customHeight="1">
      <c r="B208" s="593" t="s">
        <v>250</v>
      </c>
      <c r="C208" s="955"/>
      <c r="D208" s="443"/>
      <c r="E208" s="691"/>
      <c r="F208" s="578"/>
      <c r="G208" s="531">
        <v>1000000</v>
      </c>
      <c r="I208" s="1086"/>
      <c r="J208" s="1087"/>
      <c r="K208" s="1087"/>
      <c r="L208" s="1087"/>
      <c r="M208" s="1087">
        <f t="shared" si="7"/>
        <v>1000000</v>
      </c>
      <c r="N208" s="1088"/>
    </row>
    <row r="209" spans="2:14" ht="15" customHeight="1">
      <c r="B209" s="593" t="s">
        <v>251</v>
      </c>
      <c r="C209" s="955"/>
      <c r="D209" s="443"/>
      <c r="E209" s="691"/>
      <c r="F209" s="578"/>
      <c r="G209" s="531">
        <v>1000000</v>
      </c>
      <c r="H209" s="141" t="s">
        <v>3</v>
      </c>
      <c r="I209" s="1086"/>
      <c r="J209" s="1087"/>
      <c r="K209" s="1087"/>
      <c r="L209" s="1087"/>
      <c r="M209" s="1087">
        <f t="shared" si="7"/>
        <v>1000000</v>
      </c>
      <c r="N209" s="1088"/>
    </row>
    <row r="210" spans="2:14" ht="15" customHeight="1">
      <c r="B210" s="693" t="s">
        <v>252</v>
      </c>
      <c r="C210" s="1140" t="s">
        <v>253</v>
      </c>
      <c r="D210" s="1030" t="s">
        <v>91</v>
      </c>
      <c r="E210" s="695">
        <v>50</v>
      </c>
      <c r="F210" s="696">
        <v>8000</v>
      </c>
      <c r="G210" s="531">
        <f>E210*F210</f>
        <v>400000</v>
      </c>
      <c r="I210" s="1086"/>
      <c r="J210" s="1087"/>
      <c r="K210" s="1087"/>
      <c r="L210" s="1087"/>
      <c r="M210" s="1087"/>
      <c r="N210" s="1088">
        <f>G210</f>
        <v>400000</v>
      </c>
    </row>
    <row r="211" spans="2:14" ht="15" customHeight="1">
      <c r="B211" s="508" t="s">
        <v>254</v>
      </c>
      <c r="C211" s="509"/>
      <c r="D211" s="510"/>
      <c r="E211" s="511"/>
      <c r="F211" s="512"/>
      <c r="G211" s="1077">
        <f>SUM(G203:G210)</f>
        <v>13102126.494843749</v>
      </c>
      <c r="I211" s="1104"/>
      <c r="J211" s="1105"/>
      <c r="K211" s="1105"/>
      <c r="L211" s="1105"/>
      <c r="M211" s="1105"/>
      <c r="N211" s="1106"/>
    </row>
    <row r="212" spans="2:14" ht="15" customHeight="1">
      <c r="B212" s="697"/>
      <c r="C212" s="514"/>
      <c r="D212" s="515"/>
      <c r="E212" s="516" t="s">
        <v>154</v>
      </c>
      <c r="F212" s="517" t="s">
        <v>83</v>
      </c>
      <c r="G212" s="698">
        <f>G211/C35</f>
        <v>918.86713618372607</v>
      </c>
      <c r="I212" s="962">
        <f t="shared" ref="I212:N212" si="8">SUM(I202:I211)</f>
        <v>0</v>
      </c>
      <c r="J212" s="962">
        <f t="shared" si="8"/>
        <v>0</v>
      </c>
      <c r="K212" s="962">
        <f t="shared" si="8"/>
        <v>0</v>
      </c>
      <c r="L212" s="962">
        <f t="shared" si="8"/>
        <v>0</v>
      </c>
      <c r="M212" s="962">
        <f t="shared" si="8"/>
        <v>12702126.494843749</v>
      </c>
      <c r="N212" s="962">
        <f t="shared" si="8"/>
        <v>400000</v>
      </c>
    </row>
    <row r="213" spans="2:14" ht="15" customHeight="1">
      <c r="B213" s="644"/>
      <c r="C213" s="164"/>
      <c r="D213" s="344"/>
      <c r="E213" s="348"/>
      <c r="F213" s="346" t="s">
        <v>84</v>
      </c>
      <c r="G213" s="699">
        <f>G211/C16</f>
        <v>843.39404537133885</v>
      </c>
      <c r="I213" s="794"/>
      <c r="J213" s="794"/>
      <c r="K213" s="794"/>
      <c r="L213" s="794"/>
      <c r="M213" s="794"/>
      <c r="N213" s="794"/>
    </row>
    <row r="214" spans="2:14" ht="15" customHeight="1" thickBot="1">
      <c r="B214" s="700"/>
      <c r="C214" s="350"/>
      <c r="D214" s="351"/>
      <c r="E214" s="352"/>
      <c r="F214" s="353" t="s">
        <v>155</v>
      </c>
      <c r="G214" s="354">
        <f>G211/G302</f>
        <v>8.0738853367090749E-3</v>
      </c>
      <c r="I214" s="794"/>
      <c r="J214" s="794"/>
      <c r="K214" s="794"/>
      <c r="L214" s="794"/>
      <c r="M214" s="794"/>
      <c r="N214" s="794"/>
    </row>
    <row r="215" spans="2:14" ht="20" customHeight="1" thickBot="1">
      <c r="B215" s="701"/>
      <c r="C215" s="164"/>
      <c r="D215" s="344"/>
      <c r="E215" s="702"/>
      <c r="F215" s="647"/>
      <c r="G215" s="703"/>
      <c r="I215" s="794"/>
      <c r="J215" s="794"/>
      <c r="K215" s="794"/>
      <c r="L215" s="794"/>
      <c r="M215" s="794"/>
      <c r="N215" s="794"/>
    </row>
    <row r="216" spans="2:14" ht="15" customHeight="1">
      <c r="B216" s="286" t="s">
        <v>255</v>
      </c>
      <c r="C216" s="287"/>
      <c r="D216" s="287"/>
      <c r="E216" s="287"/>
      <c r="F216" s="287"/>
      <c r="G216" s="412"/>
      <c r="H216" s="149"/>
      <c r="I216" s="1141"/>
      <c r="J216" s="1142"/>
      <c r="K216" s="1142"/>
      <c r="L216" s="1142"/>
      <c r="M216" s="1142"/>
      <c r="N216" s="1143"/>
    </row>
    <row r="217" spans="2:14" ht="15" customHeight="1">
      <c r="B217" s="714" t="s">
        <v>256</v>
      </c>
      <c r="C217" s="384"/>
      <c r="D217" s="295" t="s">
        <v>229</v>
      </c>
      <c r="E217" s="715">
        <v>1.4999999999999999E-2</v>
      </c>
      <c r="F217" s="688">
        <f>G80+G91+G137+G196+G211+G240+G252++G262+G231</f>
        <v>1392594616.8883097</v>
      </c>
      <c r="G217" s="1144">
        <f>E217*F217</f>
        <v>20888919.253324647</v>
      </c>
      <c r="H217" s="1473"/>
      <c r="I217" s="1081">
        <f>G217/D55*I59</f>
        <v>1740743.2711103871</v>
      </c>
      <c r="J217" s="833">
        <f>G217/D55*J59</f>
        <v>0</v>
      </c>
      <c r="K217" s="833">
        <f>G217/D55*K59</f>
        <v>0</v>
      </c>
      <c r="L217" s="833">
        <f>G217/D55*L59</f>
        <v>3481486.5422207741</v>
      </c>
      <c r="M217" s="833">
        <f>G217/D55*M59</f>
        <v>13925946.168883096</v>
      </c>
      <c r="N217" s="1082">
        <f>G217/D55*N59</f>
        <v>1740743.2711103871</v>
      </c>
    </row>
    <row r="218" spans="2:14" ht="15" customHeight="1">
      <c r="B218" s="528" t="s">
        <v>258</v>
      </c>
      <c r="C218" s="307"/>
      <c r="D218" s="308" t="s">
        <v>229</v>
      </c>
      <c r="E218" s="717">
        <v>0.01</v>
      </c>
      <c r="F218" s="718">
        <f>G196+G211</f>
        <v>881314775.97921872</v>
      </c>
      <c r="G218" s="325">
        <f>E218*F218</f>
        <v>8813147.7597921882</v>
      </c>
      <c r="H218" s="1473"/>
      <c r="I218" s="1081">
        <f>G218/D55*I59</f>
        <v>734428.97998268239</v>
      </c>
      <c r="J218" s="833">
        <f>G218/D55*J59</f>
        <v>0</v>
      </c>
      <c r="K218" s="833">
        <f>G218/D55*K59</f>
        <v>0</v>
      </c>
      <c r="L218" s="833">
        <f>G218/D55*L59</f>
        <v>1468857.9599653648</v>
      </c>
      <c r="M218" s="833">
        <f>G218/D55*M59</f>
        <v>5875431.8398614591</v>
      </c>
      <c r="N218" s="1082">
        <f>G218/D55*N59</f>
        <v>734428.97998268239</v>
      </c>
    </row>
    <row r="219" spans="2:14" ht="15" customHeight="1">
      <c r="B219" s="528" t="s">
        <v>260</v>
      </c>
      <c r="C219" s="307"/>
      <c r="D219" s="308" t="s">
        <v>229</v>
      </c>
      <c r="E219" s="717">
        <v>0.01</v>
      </c>
      <c r="F219" s="718">
        <f>G80+G91+G137+G196+G211+G231+G240+G252+G262</f>
        <v>1392594616.8883097</v>
      </c>
      <c r="G219" s="325">
        <f>F219*E219</f>
        <v>13925946.168883098</v>
      </c>
      <c r="H219" s="1473"/>
      <c r="I219" s="1081"/>
      <c r="J219" s="833"/>
      <c r="K219" s="833"/>
      <c r="L219" s="833">
        <f>G220/(D52+D53+D54)*L59</f>
        <v>1602390.5017803977</v>
      </c>
      <c r="M219" s="833">
        <f>G220/(D52+D53+D54)*M59</f>
        <v>6409562.0071215909</v>
      </c>
      <c r="N219" s="1082">
        <f>G220/(D52+D53+D54)*N59</f>
        <v>801195.25089019886</v>
      </c>
    </row>
    <row r="220" spans="2:14" ht="15" customHeight="1">
      <c r="B220" s="528" t="s">
        <v>374</v>
      </c>
      <c r="C220" s="307"/>
      <c r="D220" s="308" t="s">
        <v>229</v>
      </c>
      <c r="E220" s="717">
        <v>0.01</v>
      </c>
      <c r="F220" s="718">
        <f>G196+G211</f>
        <v>881314775.97921872</v>
      </c>
      <c r="G220" s="325">
        <f>F220*E220</f>
        <v>8813147.7597921882</v>
      </c>
      <c r="H220" s="1473"/>
      <c r="I220" s="1081"/>
      <c r="J220" s="833"/>
      <c r="K220" s="833"/>
      <c r="L220" s="833">
        <f>G219/(D52+D53+D54)*L59</f>
        <v>2531990.2125241999</v>
      </c>
      <c r="M220" s="833">
        <f>G219/(D52+D53+D54)*M59</f>
        <v>10127960.850096799</v>
      </c>
      <c r="N220" s="1082">
        <f>G219/(D52+D53+D54)*N59</f>
        <v>1265995.1062620999</v>
      </c>
    </row>
    <row r="221" spans="2:14" ht="15" customHeight="1">
      <c r="B221" s="508" t="s">
        <v>264</v>
      </c>
      <c r="C221" s="509"/>
      <c r="D221" s="510"/>
      <c r="E221" s="511"/>
      <c r="F221" s="512"/>
      <c r="G221" s="1145">
        <f>SUM(G217:G220)</f>
        <v>52441160.941792123</v>
      </c>
      <c r="H221" s="720">
        <f>G221/D55</f>
        <v>1456698.9150497811</v>
      </c>
      <c r="I221" s="1146"/>
      <c r="J221" s="842"/>
      <c r="K221" s="842"/>
      <c r="L221" s="842"/>
      <c r="M221" s="842"/>
      <c r="N221" s="1147"/>
    </row>
    <row r="222" spans="2:14" ht="15" customHeight="1">
      <c r="B222" s="721"/>
      <c r="C222" s="164"/>
      <c r="D222" s="344"/>
      <c r="E222" s="516" t="s">
        <v>154</v>
      </c>
      <c r="F222" s="517" t="s">
        <v>83</v>
      </c>
      <c r="G222" s="698">
        <f>G221/(C25+C26+C27)</f>
        <v>4080.3891177865021</v>
      </c>
      <c r="H222" s="722"/>
      <c r="I222" s="1148">
        <f t="shared" ref="I222:N222" si="9">SUM(I216:I221)</f>
        <v>2475172.2510930696</v>
      </c>
      <c r="J222" s="1148">
        <f t="shared" si="9"/>
        <v>0</v>
      </c>
      <c r="K222" s="1148">
        <f t="shared" si="9"/>
        <v>0</v>
      </c>
      <c r="L222" s="1148">
        <f t="shared" si="9"/>
        <v>9084725.2164907362</v>
      </c>
      <c r="M222" s="1148">
        <f t="shared" si="9"/>
        <v>36338900.865962945</v>
      </c>
      <c r="N222" s="1148">
        <f t="shared" si="9"/>
        <v>4542362.6082453681</v>
      </c>
    </row>
    <row r="223" spans="2:14" ht="15" customHeight="1">
      <c r="B223" s="721"/>
      <c r="C223" s="164"/>
      <c r="D223" s="344"/>
      <c r="E223" s="348"/>
      <c r="F223" s="346" t="s">
        <v>84</v>
      </c>
      <c r="G223" s="699">
        <f>G221/C16</f>
        <v>3375.6782067455501</v>
      </c>
      <c r="I223" s="794"/>
      <c r="J223" s="794"/>
      <c r="K223" s="794"/>
      <c r="L223" s="794"/>
      <c r="M223" s="794"/>
      <c r="N223" s="794"/>
    </row>
    <row r="224" spans="2:14" ht="15" customHeight="1" thickBot="1">
      <c r="B224" s="723"/>
      <c r="C224" s="350"/>
      <c r="D224" s="351"/>
      <c r="E224" s="352"/>
      <c r="F224" s="353" t="s">
        <v>155</v>
      </c>
      <c r="G224" s="354">
        <f>G221/G302</f>
        <v>3.23156642194352E-2</v>
      </c>
      <c r="I224" s="793"/>
      <c r="J224" s="793"/>
      <c r="K224" s="793"/>
      <c r="L224" s="793"/>
      <c r="M224" s="794"/>
      <c r="N224" s="794"/>
    </row>
    <row r="225" spans="2:14" ht="20" customHeight="1" thickBot="1">
      <c r="B225" s="274"/>
      <c r="C225" s="164"/>
      <c r="D225" s="344"/>
      <c r="E225" s="348"/>
      <c r="F225" s="346"/>
      <c r="I225" s="793"/>
      <c r="J225" s="793"/>
      <c r="K225" s="793"/>
      <c r="L225" s="793"/>
      <c r="M225" s="794"/>
      <c r="N225" s="794"/>
    </row>
    <row r="226" spans="2:14" ht="15" customHeight="1">
      <c r="B226" s="734" t="s">
        <v>265</v>
      </c>
      <c r="C226" s="371"/>
      <c r="D226" s="372"/>
      <c r="E226" s="373"/>
      <c r="F226" s="374"/>
      <c r="G226" s="375"/>
      <c r="I226" s="793"/>
      <c r="J226" s="793"/>
      <c r="K226" s="793"/>
      <c r="L226" s="793"/>
      <c r="M226" s="794"/>
      <c r="N226" s="794"/>
    </row>
    <row r="227" spans="2:14" ht="15" customHeight="1">
      <c r="B227" s="383" t="s">
        <v>266</v>
      </c>
      <c r="C227" s="457"/>
      <c r="D227" s="295"/>
      <c r="E227" s="739"/>
      <c r="F227" s="740"/>
      <c r="G227" s="741">
        <v>1000000</v>
      </c>
      <c r="I227" s="1149"/>
      <c r="J227" s="1150"/>
      <c r="K227" s="1150"/>
      <c r="L227" s="1150"/>
      <c r="M227" s="1142"/>
      <c r="N227" s="1143">
        <f>G227</f>
        <v>1000000</v>
      </c>
    </row>
    <row r="228" spans="2:14" ht="15" customHeight="1">
      <c r="B228" s="394" t="s">
        <v>267</v>
      </c>
      <c r="C228" s="175"/>
      <c r="D228" s="308" t="s">
        <v>229</v>
      </c>
      <c r="E228" s="746"/>
      <c r="F228" s="747"/>
      <c r="G228" s="748">
        <v>250000</v>
      </c>
      <c r="I228" s="1151"/>
      <c r="J228" s="1152"/>
      <c r="K228" s="1152"/>
      <c r="L228" s="1152"/>
      <c r="M228" s="833"/>
      <c r="N228" s="1082">
        <f>G228</f>
        <v>250000</v>
      </c>
    </row>
    <row r="229" spans="2:14" ht="15" customHeight="1">
      <c r="B229" s="394" t="s">
        <v>268</v>
      </c>
      <c r="C229" s="175"/>
      <c r="D229" s="308" t="s">
        <v>229</v>
      </c>
      <c r="E229" s="1153">
        <v>24</v>
      </c>
      <c r="F229" s="747">
        <v>120000</v>
      </c>
      <c r="G229" s="748">
        <f>F229*E229</f>
        <v>2880000</v>
      </c>
      <c r="I229" s="1151"/>
      <c r="J229" s="1152"/>
      <c r="K229" s="1152"/>
      <c r="L229" s="1152"/>
      <c r="M229" s="833"/>
      <c r="N229" s="1082">
        <f>G229</f>
        <v>2880000</v>
      </c>
    </row>
    <row r="230" spans="2:14" ht="15" customHeight="1">
      <c r="B230" s="400" t="s">
        <v>375</v>
      </c>
      <c r="C230" s="751"/>
      <c r="D230" s="329"/>
      <c r="E230" s="752"/>
      <c r="F230" s="753"/>
      <c r="G230" s="754">
        <v>500000</v>
      </c>
      <c r="I230" s="1154"/>
      <c r="J230" s="1155"/>
      <c r="K230" s="1155"/>
      <c r="L230" s="1155"/>
      <c r="M230" s="842"/>
      <c r="N230" s="1147">
        <f>G230</f>
        <v>500000</v>
      </c>
    </row>
    <row r="231" spans="2:14" ht="15" customHeight="1">
      <c r="B231" s="764" t="s">
        <v>270</v>
      </c>
      <c r="C231" s="334"/>
      <c r="D231" s="335"/>
      <c r="E231" s="336"/>
      <c r="F231" s="406"/>
      <c r="G231" s="1085">
        <f>SUM(G227:G230)</f>
        <v>4630000</v>
      </c>
      <c r="I231" s="1156">
        <f t="shared" ref="I231:N231" si="10">SUM(I227:I230)</f>
        <v>0</v>
      </c>
      <c r="J231" s="1156">
        <f t="shared" si="10"/>
        <v>0</v>
      </c>
      <c r="K231" s="1156">
        <f t="shared" si="10"/>
        <v>0</v>
      </c>
      <c r="L231" s="1156">
        <f t="shared" si="10"/>
        <v>0</v>
      </c>
      <c r="M231" s="1156">
        <f t="shared" si="10"/>
        <v>0</v>
      </c>
      <c r="N231" s="1156">
        <f t="shared" si="10"/>
        <v>4630000</v>
      </c>
    </row>
    <row r="232" spans="2:14" ht="15" customHeight="1">
      <c r="B232" s="721"/>
      <c r="C232" s="164"/>
      <c r="D232" s="344"/>
      <c r="E232" s="516" t="s">
        <v>154</v>
      </c>
      <c r="F232" s="517" t="s">
        <v>83</v>
      </c>
      <c r="G232" s="698">
        <f>G231/C35</f>
        <v>324.70720246861629</v>
      </c>
      <c r="I232" s="1156"/>
      <c r="J232" s="793"/>
      <c r="K232" s="793"/>
      <c r="L232" s="793"/>
      <c r="M232" s="794"/>
      <c r="N232" s="794"/>
    </row>
    <row r="233" spans="2:14" ht="15" customHeight="1">
      <c r="B233" s="721"/>
      <c r="C233" s="164"/>
      <c r="D233" s="344"/>
      <c r="E233" s="348"/>
      <c r="F233" s="346" t="s">
        <v>84</v>
      </c>
      <c r="G233" s="699">
        <f>G231/C16</f>
        <v>298.03669134213067</v>
      </c>
      <c r="I233" s="793"/>
      <c r="J233" s="793"/>
      <c r="K233" s="793"/>
      <c r="L233" s="793"/>
      <c r="M233" s="794"/>
      <c r="N233" s="794"/>
    </row>
    <row r="234" spans="2:14" ht="15" customHeight="1" thickBot="1">
      <c r="B234" s="723"/>
      <c r="C234" s="350"/>
      <c r="D234" s="351"/>
      <c r="E234" s="352"/>
      <c r="F234" s="353" t="s">
        <v>155</v>
      </c>
      <c r="G234" s="354">
        <f>G231/G302</f>
        <v>2.8531314457751933E-3</v>
      </c>
      <c r="I234" s="793"/>
      <c r="J234" s="793"/>
      <c r="K234" s="793"/>
      <c r="L234" s="793"/>
      <c r="M234" s="794"/>
      <c r="N234" s="794"/>
    </row>
    <row r="235" spans="2:14" ht="20" customHeight="1" thickBot="1">
      <c r="B235" s="274"/>
      <c r="C235" s="164"/>
      <c r="D235" s="344"/>
      <c r="E235" s="348"/>
      <c r="F235" s="346"/>
      <c r="G235" s="362"/>
      <c r="H235" s="141" t="s">
        <v>3</v>
      </c>
      <c r="I235" s="793"/>
      <c r="J235" s="793"/>
      <c r="K235" s="793"/>
      <c r="L235" s="793"/>
      <c r="M235" s="794"/>
      <c r="N235" s="794"/>
    </row>
    <row r="236" spans="2:14" ht="15" customHeight="1">
      <c r="B236" s="734" t="s">
        <v>271</v>
      </c>
      <c r="C236" s="371"/>
      <c r="D236" s="372"/>
      <c r="E236" s="373"/>
      <c r="F236" s="374"/>
      <c r="G236" s="375"/>
      <c r="I236" s="793"/>
      <c r="J236" s="793"/>
      <c r="K236" s="793"/>
      <c r="L236" s="793"/>
      <c r="M236" s="794"/>
      <c r="N236" s="794"/>
    </row>
    <row r="237" spans="2:14" ht="15" customHeight="1">
      <c r="B237" s="761" t="s">
        <v>272</v>
      </c>
      <c r="C237" s="164"/>
      <c r="D237" s="344"/>
      <c r="E237" s="348"/>
      <c r="F237" s="346"/>
      <c r="G237" s="762">
        <v>0</v>
      </c>
      <c r="I237" s="1149"/>
      <c r="J237" s="1150"/>
      <c r="K237" s="1150"/>
      <c r="L237" s="1150"/>
      <c r="M237" s="1142"/>
      <c r="N237" s="1143"/>
    </row>
    <row r="238" spans="2:14" ht="15" customHeight="1">
      <c r="B238" s="761" t="s">
        <v>273</v>
      </c>
      <c r="C238" s="164"/>
      <c r="D238" s="344"/>
      <c r="E238" s="348"/>
      <c r="F238" s="346"/>
      <c r="G238" s="762">
        <v>0</v>
      </c>
      <c r="I238" s="1151"/>
      <c r="J238" s="1152"/>
      <c r="K238" s="1152"/>
      <c r="L238" s="1152"/>
      <c r="M238" s="833"/>
      <c r="N238" s="1082"/>
    </row>
    <row r="239" spans="2:14" ht="15" customHeight="1">
      <c r="B239" s="761" t="s">
        <v>274</v>
      </c>
      <c r="C239" s="164"/>
      <c r="D239" s="344" t="s">
        <v>229</v>
      </c>
      <c r="E239" s="763">
        <v>0.05</v>
      </c>
      <c r="F239" s="346">
        <f>G237+G238</f>
        <v>0</v>
      </c>
      <c r="G239" s="762">
        <v>0</v>
      </c>
      <c r="I239" s="1154"/>
      <c r="J239" s="1155"/>
      <c r="K239" s="1155"/>
      <c r="L239" s="1155"/>
      <c r="M239" s="842"/>
      <c r="N239" s="1147"/>
    </row>
    <row r="240" spans="2:14" ht="15" customHeight="1">
      <c r="B240" s="764" t="s">
        <v>122</v>
      </c>
      <c r="C240" s="334"/>
      <c r="D240" s="335"/>
      <c r="E240" s="336"/>
      <c r="F240" s="406"/>
      <c r="G240" s="765">
        <f>SUM(G237:G239)</f>
        <v>0</v>
      </c>
      <c r="I240" s="793"/>
      <c r="J240" s="793"/>
      <c r="K240" s="793"/>
      <c r="L240" s="793"/>
      <c r="M240" s="794"/>
      <c r="N240" s="794"/>
    </row>
    <row r="241" spans="2:14" ht="15" customHeight="1">
      <c r="B241" s="721"/>
      <c r="C241" s="164"/>
      <c r="D241" s="344"/>
      <c r="E241" s="516" t="s">
        <v>154</v>
      </c>
      <c r="F241" s="517" t="s">
        <v>83</v>
      </c>
      <c r="G241" s="698">
        <f>G240/C35</f>
        <v>0</v>
      </c>
      <c r="I241" s="793"/>
      <c r="J241" s="793"/>
      <c r="K241" s="793"/>
      <c r="L241" s="793"/>
      <c r="M241" s="794"/>
      <c r="N241" s="794"/>
    </row>
    <row r="242" spans="2:14" ht="15" customHeight="1">
      <c r="B242" s="721"/>
      <c r="C242" s="164"/>
      <c r="D242" s="344"/>
      <c r="E242" s="348"/>
      <c r="F242" s="346" t="s">
        <v>84</v>
      </c>
      <c r="G242" s="699">
        <f>G240/C16</f>
        <v>0</v>
      </c>
      <c r="I242" s="793"/>
      <c r="J242" s="793"/>
      <c r="K242" s="793"/>
      <c r="L242" s="793"/>
      <c r="M242" s="794"/>
      <c r="N242" s="794"/>
    </row>
    <row r="243" spans="2:14" ht="15" customHeight="1" thickBot="1">
      <c r="B243" s="723"/>
      <c r="C243" s="350"/>
      <c r="D243" s="351"/>
      <c r="E243" s="352"/>
      <c r="F243" s="353" t="s">
        <v>155</v>
      </c>
      <c r="G243" s="354">
        <f>G240/G302</f>
        <v>0</v>
      </c>
      <c r="I243" s="793"/>
      <c r="J243" s="793"/>
      <c r="K243" s="793"/>
      <c r="L243" s="793"/>
      <c r="M243" s="794"/>
      <c r="N243" s="794"/>
    </row>
    <row r="244" spans="2:14" ht="20" customHeight="1" thickBot="1">
      <c r="B244" s="274"/>
      <c r="C244" s="164"/>
      <c r="D244" s="344"/>
      <c r="E244" s="348"/>
      <c r="F244" s="346"/>
      <c r="G244" s="362"/>
      <c r="I244" s="793"/>
      <c r="J244" s="793"/>
      <c r="K244" s="793"/>
      <c r="L244" s="793"/>
      <c r="M244" s="794"/>
      <c r="N244" s="794"/>
    </row>
    <row r="245" spans="2:14" ht="15" customHeight="1">
      <c r="B245" s="734" t="s">
        <v>275</v>
      </c>
      <c r="C245" s="371"/>
      <c r="D245" s="372"/>
      <c r="E245" s="373"/>
      <c r="F245" s="374"/>
      <c r="G245" s="375"/>
      <c r="I245" s="793"/>
      <c r="J245" s="793"/>
      <c r="K245" s="793"/>
      <c r="L245" s="793"/>
      <c r="M245" s="141"/>
      <c r="N245" s="794"/>
    </row>
    <row r="246" spans="2:14" ht="15" customHeight="1">
      <c r="B246" s="383" t="s">
        <v>376</v>
      </c>
      <c r="C246" s="384" t="s">
        <v>277</v>
      </c>
      <c r="D246" s="686" t="s">
        <v>229</v>
      </c>
      <c r="E246" s="767">
        <v>0.01</v>
      </c>
      <c r="F246" s="688">
        <f>G329</f>
        <v>1948234090.909091</v>
      </c>
      <c r="G246" s="1144">
        <f>E246*F246</f>
        <v>19482340.90909091</v>
      </c>
      <c r="I246" s="1157"/>
      <c r="J246" s="1158"/>
      <c r="K246" s="1158"/>
      <c r="L246" s="1158">
        <v>3000000</v>
      </c>
      <c r="M246" s="1158">
        <f>G246-L246-N246</f>
        <v>13482340.90909091</v>
      </c>
      <c r="N246" s="1159">
        <v>3000000</v>
      </c>
    </row>
    <row r="247" spans="2:14" ht="15" customHeight="1">
      <c r="B247" s="394" t="s">
        <v>278</v>
      </c>
      <c r="C247" s="175"/>
      <c r="D247" s="308"/>
      <c r="E247" s="768"/>
      <c r="F247" s="769"/>
      <c r="G247" s="770"/>
      <c r="I247" s="1160"/>
      <c r="J247" s="1161"/>
      <c r="K247" s="1161"/>
      <c r="L247" s="1161"/>
      <c r="M247" s="1161"/>
      <c r="N247" s="1162"/>
    </row>
    <row r="248" spans="2:14" ht="15" customHeight="1">
      <c r="B248" s="394" t="s">
        <v>279</v>
      </c>
      <c r="C248" s="175"/>
      <c r="D248" s="308"/>
      <c r="E248" s="768"/>
      <c r="F248" s="769"/>
      <c r="G248" s="770"/>
      <c r="I248" s="1160"/>
      <c r="J248" s="1161"/>
      <c r="K248" s="1161"/>
      <c r="L248" s="1161"/>
      <c r="M248" s="1161"/>
      <c r="N248" s="1162"/>
    </row>
    <row r="249" spans="2:14" ht="15" customHeight="1">
      <c r="B249" s="394" t="s">
        <v>280</v>
      </c>
      <c r="C249" s="175"/>
      <c r="D249" s="308"/>
      <c r="E249" s="768"/>
      <c r="F249" s="769"/>
      <c r="G249" s="770"/>
      <c r="I249" s="1160"/>
      <c r="J249" s="1161"/>
      <c r="K249" s="1161"/>
      <c r="L249" s="1161"/>
      <c r="M249" s="1161"/>
      <c r="N249" s="1162"/>
    </row>
    <row r="250" spans="2:14" ht="15" customHeight="1">
      <c r="B250" s="394" t="s">
        <v>281</v>
      </c>
      <c r="C250" s="175"/>
      <c r="D250" s="308"/>
      <c r="E250" s="768"/>
      <c r="F250" s="769"/>
      <c r="G250" s="770"/>
      <c r="I250" s="1151"/>
      <c r="J250" s="1152"/>
      <c r="K250" s="1152"/>
      <c r="L250" s="1152"/>
      <c r="M250" s="833"/>
      <c r="N250" s="1082"/>
    </row>
    <row r="251" spans="2:14" ht="15" customHeight="1">
      <c r="B251" s="400" t="s">
        <v>377</v>
      </c>
      <c r="C251" s="751"/>
      <c r="D251" s="329"/>
      <c r="E251" s="752"/>
      <c r="F251" s="753"/>
      <c r="G251" s="781"/>
      <c r="I251" s="1154"/>
      <c r="J251" s="1155"/>
      <c r="K251" s="1155"/>
      <c r="L251" s="1155"/>
      <c r="M251" s="842"/>
      <c r="N251" s="1147"/>
    </row>
    <row r="252" spans="2:14" ht="15" customHeight="1">
      <c r="B252" s="774" t="s">
        <v>283</v>
      </c>
      <c r="C252" s="775"/>
      <c r="D252" s="776"/>
      <c r="E252" s="777"/>
      <c r="F252" s="778"/>
      <c r="G252" s="1163">
        <f>SUM(G246:G250)</f>
        <v>19482340.90909091</v>
      </c>
      <c r="I252" s="1156">
        <f t="shared" ref="I252:N252" si="11">SUM(I246:I251)</f>
        <v>0</v>
      </c>
      <c r="J252" s="1156">
        <f t="shared" si="11"/>
        <v>0</v>
      </c>
      <c r="K252" s="1156">
        <f t="shared" si="11"/>
        <v>0</v>
      </c>
      <c r="L252" s="1156">
        <f t="shared" si="11"/>
        <v>3000000</v>
      </c>
      <c r="M252" s="1156">
        <f t="shared" si="11"/>
        <v>13482340.90909091</v>
      </c>
      <c r="N252" s="1156">
        <f t="shared" si="11"/>
        <v>3000000</v>
      </c>
    </row>
    <row r="253" spans="2:14" ht="15" customHeight="1">
      <c r="B253" s="721"/>
      <c r="C253" s="164"/>
      <c r="D253" s="344"/>
      <c r="E253" s="516" t="s">
        <v>154</v>
      </c>
      <c r="F253" s="517" t="s">
        <v>83</v>
      </c>
      <c r="G253" s="698">
        <f>G252/C35</f>
        <v>1366.3188799418549</v>
      </c>
      <c r="I253" s="793"/>
      <c r="J253" s="793"/>
      <c r="K253" s="793"/>
      <c r="L253" s="793"/>
      <c r="M253" s="794"/>
      <c r="N253" s="794"/>
    </row>
    <row r="254" spans="2:14" ht="15" customHeight="1">
      <c r="B254" s="721"/>
      <c r="C254" s="164"/>
      <c r="D254" s="344"/>
      <c r="E254" s="348"/>
      <c r="F254" s="346" t="s">
        <v>84</v>
      </c>
      <c r="G254" s="699">
        <f>G252/C16</f>
        <v>1254.0933961436053</v>
      </c>
      <c r="I254" s="793"/>
      <c r="J254" s="793"/>
      <c r="K254" s="793"/>
      <c r="L254" s="793"/>
      <c r="M254" s="794"/>
      <c r="N254" s="794"/>
    </row>
    <row r="255" spans="2:14" ht="15" customHeight="1" thickBot="1">
      <c r="B255" s="723"/>
      <c r="C255" s="350"/>
      <c r="D255" s="351"/>
      <c r="E255" s="352"/>
      <c r="F255" s="353" t="s">
        <v>155</v>
      </c>
      <c r="G255" s="354">
        <f>G252/G302</f>
        <v>1.200554632506258E-2</v>
      </c>
      <c r="I255" s="793"/>
      <c r="J255" s="793"/>
      <c r="K255" s="793"/>
      <c r="L255" s="793"/>
      <c r="M255" s="794"/>
      <c r="N255" s="794"/>
    </row>
    <row r="256" spans="2:14" ht="20" customHeight="1" thickBot="1">
      <c r="B256" s="274"/>
      <c r="C256" s="164"/>
      <c r="D256" s="344"/>
      <c r="E256" s="348"/>
      <c r="F256" s="346"/>
      <c r="G256" s="362"/>
      <c r="I256" s="793"/>
      <c r="J256" s="793"/>
      <c r="K256" s="793"/>
      <c r="L256" s="793"/>
      <c r="M256" s="794"/>
      <c r="N256" s="794"/>
    </row>
    <row r="257" spans="2:14" ht="15" customHeight="1">
      <c r="B257" s="734" t="s">
        <v>284</v>
      </c>
      <c r="C257" s="371"/>
      <c r="D257" s="372"/>
      <c r="E257" s="373"/>
      <c r="F257" s="374"/>
      <c r="G257" s="375"/>
      <c r="I257" s="793"/>
      <c r="J257" s="793"/>
      <c r="K257" s="793"/>
      <c r="L257" s="793"/>
      <c r="M257" s="794"/>
      <c r="N257" s="794"/>
    </row>
    <row r="258" spans="2:14" ht="15" customHeight="1">
      <c r="B258" s="383" t="s">
        <v>285</v>
      </c>
      <c r="C258" s="457"/>
      <c r="D258" s="295"/>
      <c r="E258" s="739"/>
      <c r="F258" s="740"/>
      <c r="G258" s="780"/>
      <c r="I258" s="1149"/>
      <c r="J258" s="1150"/>
      <c r="K258" s="1150"/>
      <c r="L258" s="1150"/>
      <c r="M258" s="1142"/>
      <c r="N258" s="1143"/>
    </row>
    <row r="259" spans="2:14" ht="15" customHeight="1">
      <c r="B259" s="394" t="s">
        <v>286</v>
      </c>
      <c r="C259" s="307"/>
      <c r="D259" s="443"/>
      <c r="E259" s="444"/>
      <c r="F259" s="424"/>
      <c r="G259" s="311">
        <v>0</v>
      </c>
      <c r="I259" s="1151"/>
      <c r="J259" s="1152"/>
      <c r="K259" s="1152"/>
      <c r="L259" s="1152"/>
      <c r="M259" s="833"/>
      <c r="N259" s="1082"/>
    </row>
    <row r="260" spans="2:14" ht="15" customHeight="1">
      <c r="B260" s="394" t="s">
        <v>287</v>
      </c>
      <c r="C260" s="175"/>
      <c r="D260" s="308"/>
      <c r="E260" s="768"/>
      <c r="F260" s="769"/>
      <c r="G260" s="770"/>
      <c r="I260" s="1151"/>
      <c r="J260" s="1152"/>
      <c r="K260" s="1152"/>
      <c r="L260" s="1152"/>
      <c r="M260" s="833"/>
      <c r="N260" s="1082"/>
    </row>
    <row r="261" spans="2:14" ht="15" customHeight="1">
      <c r="B261" s="400" t="s">
        <v>288</v>
      </c>
      <c r="C261" s="751"/>
      <c r="D261" s="329"/>
      <c r="E261" s="752"/>
      <c r="F261" s="753"/>
      <c r="G261" s="781"/>
      <c r="I261" s="1154"/>
      <c r="J261" s="1155"/>
      <c r="K261" s="1155"/>
      <c r="L261" s="1155"/>
      <c r="M261" s="842"/>
      <c r="N261" s="1147"/>
    </row>
    <row r="262" spans="2:14" ht="15" customHeight="1">
      <c r="B262" s="508" t="s">
        <v>289</v>
      </c>
      <c r="C262" s="334"/>
      <c r="D262" s="335"/>
      <c r="E262" s="336"/>
      <c r="F262" s="406"/>
      <c r="G262" s="765">
        <f>SUM(G258:G261)</f>
        <v>0</v>
      </c>
      <c r="I262" s="1156">
        <f t="shared" ref="I262:N262" si="12">SUM(I258:I261)</f>
        <v>0</v>
      </c>
      <c r="J262" s="1156">
        <f t="shared" si="12"/>
        <v>0</v>
      </c>
      <c r="K262" s="1156">
        <f t="shared" si="12"/>
        <v>0</v>
      </c>
      <c r="L262" s="1156">
        <f t="shared" si="12"/>
        <v>0</v>
      </c>
      <c r="M262" s="1156">
        <f t="shared" si="12"/>
        <v>0</v>
      </c>
      <c r="N262" s="1156">
        <f t="shared" si="12"/>
        <v>0</v>
      </c>
    </row>
    <row r="263" spans="2:14" ht="15" customHeight="1">
      <c r="B263" s="721"/>
      <c r="C263" s="164"/>
      <c r="D263" s="344"/>
      <c r="E263" s="516" t="s">
        <v>154</v>
      </c>
      <c r="F263" s="517" t="s">
        <v>83</v>
      </c>
      <c r="G263" s="698">
        <f>G262/C35</f>
        <v>0</v>
      </c>
      <c r="I263" s="793"/>
      <c r="J263" s="793"/>
      <c r="K263" s="793"/>
      <c r="L263" s="793"/>
      <c r="M263" s="794"/>
      <c r="N263" s="794"/>
    </row>
    <row r="264" spans="2:14" ht="15" customHeight="1">
      <c r="B264" s="721"/>
      <c r="C264" s="164"/>
      <c r="D264" s="344"/>
      <c r="E264" s="348"/>
      <c r="F264" s="346" t="s">
        <v>84</v>
      </c>
      <c r="G264" s="699">
        <f>G262/C16</f>
        <v>0</v>
      </c>
      <c r="I264" s="793"/>
      <c r="J264" s="793"/>
      <c r="K264" s="793"/>
      <c r="L264" s="793"/>
      <c r="M264" s="794"/>
      <c r="N264" s="794"/>
    </row>
    <row r="265" spans="2:14" ht="15" customHeight="1" thickBot="1">
      <c r="B265" s="723"/>
      <c r="C265" s="350"/>
      <c r="D265" s="351"/>
      <c r="E265" s="352"/>
      <c r="F265" s="353" t="s">
        <v>155</v>
      </c>
      <c r="G265" s="354">
        <f>G262/G302</f>
        <v>0</v>
      </c>
      <c r="I265" s="793"/>
      <c r="J265" s="793"/>
      <c r="K265" s="793"/>
      <c r="L265" s="793"/>
      <c r="M265" s="794"/>
      <c r="N265" s="794"/>
    </row>
    <row r="266" spans="2:14" ht="20" customHeight="1">
      <c r="B266" s="274"/>
      <c r="C266" s="164"/>
      <c r="D266" s="344"/>
      <c r="E266" s="348"/>
      <c r="F266" s="346"/>
      <c r="G266" s="362"/>
      <c r="I266" s="793"/>
      <c r="J266" s="793"/>
      <c r="K266" s="793"/>
      <c r="L266" s="793"/>
      <c r="M266" s="794"/>
      <c r="N266" s="794"/>
    </row>
    <row r="267" spans="2:14" ht="20" customHeight="1" thickBot="1">
      <c r="B267" s="795"/>
      <c r="C267" s="350"/>
      <c r="D267" s="351"/>
      <c r="E267" s="352"/>
      <c r="F267" s="353"/>
      <c r="G267" s="796"/>
      <c r="I267" s="793"/>
      <c r="J267" s="793"/>
      <c r="K267" s="793"/>
      <c r="L267" s="793"/>
      <c r="M267" s="794"/>
      <c r="N267" s="794"/>
    </row>
    <row r="268" spans="2:14" ht="20" customHeight="1" thickBot="1">
      <c r="B268" s="797" t="s">
        <v>290</v>
      </c>
      <c r="C268" s="798"/>
      <c r="D268" s="799"/>
      <c r="E268" s="799"/>
      <c r="F268" s="800"/>
      <c r="G268" s="801">
        <f>G262+G252+G240+G231+G221+G211+G196+G137+G91+G80</f>
        <v>1445035777.8301017</v>
      </c>
      <c r="I268" s="1164">
        <f t="shared" ref="I268:N268" si="13">I80+I91+I137+I197+I212+I222+I231+I240+I252+I262</f>
        <v>3775172.2510930696</v>
      </c>
      <c r="J268" s="1165">
        <f t="shared" si="13"/>
        <v>440000000</v>
      </c>
      <c r="K268" s="1165">
        <f t="shared" si="13"/>
        <v>1000000</v>
      </c>
      <c r="L268" s="1166">
        <f t="shared" si="13"/>
        <v>39584725.216490738</v>
      </c>
      <c r="M268" s="1167">
        <f t="shared" si="13"/>
        <v>934636017.75427258</v>
      </c>
      <c r="N268" s="1168">
        <f t="shared" si="13"/>
        <v>22839862.608245369</v>
      </c>
    </row>
    <row r="269" spans="2:14" ht="20" customHeight="1">
      <c r="B269" s="274"/>
      <c r="C269" s="164"/>
      <c r="D269" s="344"/>
      <c r="E269" s="348"/>
      <c r="F269" s="346"/>
      <c r="G269" s="362"/>
      <c r="I269" s="1474">
        <f>SUM(I268:L268)</f>
        <v>484359897.46758384</v>
      </c>
      <c r="J269" s="1474"/>
      <c r="K269" s="1474"/>
      <c r="L269" s="1474"/>
      <c r="M269" s="1475"/>
      <c r="N269" s="1475"/>
    </row>
    <row r="270" spans="2:14" ht="20" customHeight="1" thickBot="1">
      <c r="G270" s="582"/>
      <c r="I270" s="1435" t="s">
        <v>378</v>
      </c>
      <c r="J270" s="1435"/>
      <c r="K270" s="1435"/>
      <c r="L270" s="1435"/>
      <c r="M270" s="1169"/>
      <c r="N270" s="1170"/>
    </row>
    <row r="271" spans="2:14" ht="15" customHeight="1">
      <c r="B271" s="818" t="s">
        <v>379</v>
      </c>
      <c r="C271" s="819"/>
      <c r="D271" s="820" t="s">
        <v>295</v>
      </c>
      <c r="E271" s="820" t="s">
        <v>296</v>
      </c>
      <c r="F271" s="820" t="s">
        <v>297</v>
      </c>
      <c r="G271" s="821" t="s">
        <v>298</v>
      </c>
      <c r="I271" s="1171"/>
      <c r="J271" s="1171"/>
      <c r="K271" s="1171"/>
      <c r="L271" s="794"/>
    </row>
    <row r="272" spans="2:14" ht="15" customHeight="1">
      <c r="B272" s="685" t="s">
        <v>299</v>
      </c>
      <c r="C272" s="823"/>
      <c r="D272" s="824"/>
      <c r="E272" s="295"/>
      <c r="F272" s="825"/>
      <c r="G272" s="826"/>
      <c r="I272" s="1171"/>
      <c r="J272" s="1171"/>
      <c r="K272" s="1171"/>
      <c r="L272" s="1171"/>
    </row>
    <row r="273" spans="2:12" ht="15" customHeight="1">
      <c r="B273" s="829" t="s">
        <v>112</v>
      </c>
      <c r="C273" s="830"/>
      <c r="D273" s="1486">
        <v>0.08</v>
      </c>
      <c r="E273" s="832">
        <f>(I59+J59+K59+L59)/12</f>
        <v>0.75</v>
      </c>
      <c r="F273" s="833">
        <f>I268</f>
        <v>3775172.2510930696</v>
      </c>
      <c r="G273" s="1172">
        <f>F273*E273*D273</f>
        <v>226510.33506558419</v>
      </c>
      <c r="H273" s="1173"/>
      <c r="I273" s="1171"/>
      <c r="J273" s="1171"/>
      <c r="K273" s="1171"/>
      <c r="L273" s="1171"/>
    </row>
    <row r="274" spans="2:12" ht="15" customHeight="1">
      <c r="B274" s="829" t="s">
        <v>380</v>
      </c>
      <c r="C274" s="830"/>
      <c r="D274" s="1486"/>
      <c r="E274" s="832">
        <f>(J59+K59+L59)/12</f>
        <v>0.5</v>
      </c>
      <c r="F274" s="833">
        <f>J268+F273</f>
        <v>443775172.25109309</v>
      </c>
      <c r="G274" s="1172">
        <f>D273*E274*F274</f>
        <v>17751006.890043724</v>
      </c>
      <c r="H274" s="1173"/>
      <c r="I274" s="1171"/>
      <c r="J274" s="1171"/>
      <c r="K274" s="1171"/>
      <c r="L274" s="1171"/>
    </row>
    <row r="275" spans="2:12" ht="15" customHeight="1">
      <c r="B275" s="829" t="s">
        <v>186</v>
      </c>
      <c r="C275" s="830"/>
      <c r="D275" s="1486"/>
      <c r="E275" s="832">
        <f>(K59+L59)/12</f>
        <v>0.5</v>
      </c>
      <c r="F275" s="833">
        <f>F274+K268</f>
        <v>444775172.25109309</v>
      </c>
      <c r="G275" s="1172">
        <f>D273*E275*F275</f>
        <v>17791006.890043724</v>
      </c>
      <c r="H275" s="1173"/>
      <c r="I275" s="1171"/>
      <c r="J275" s="1171"/>
      <c r="K275" s="1171"/>
      <c r="L275" s="1171"/>
    </row>
    <row r="276" spans="2:12" ht="15" customHeight="1">
      <c r="B276" s="829" t="s">
        <v>381</v>
      </c>
      <c r="C276" s="830"/>
      <c r="D276" s="1486"/>
      <c r="E276" s="832">
        <f>L59/12</f>
        <v>0.5</v>
      </c>
      <c r="F276" s="833">
        <f>F275+L268</f>
        <v>484359897.46758384</v>
      </c>
      <c r="G276" s="1172">
        <f>D273*E276*F276</f>
        <v>19374395.898703355</v>
      </c>
      <c r="H276" s="1173"/>
      <c r="I276" s="1171"/>
      <c r="J276" s="1171"/>
      <c r="K276" s="1171"/>
      <c r="L276" s="1171"/>
    </row>
    <row r="277" spans="2:12" ht="15" customHeight="1">
      <c r="B277" s="839"/>
      <c r="C277" s="840"/>
      <c r="D277" s="840"/>
      <c r="E277" s="841"/>
      <c r="F277" s="842"/>
      <c r="G277" s="1174">
        <f>SUM(G273:G276)</f>
        <v>55142920.013856381</v>
      </c>
      <c r="I277" s="1171"/>
      <c r="J277" s="1171"/>
      <c r="K277" s="1171"/>
      <c r="L277" s="1171"/>
    </row>
    <row r="278" spans="2:12" ht="15" customHeight="1">
      <c r="B278" s="714" t="s">
        <v>382</v>
      </c>
      <c r="C278" s="852" t="s">
        <v>383</v>
      </c>
      <c r="D278" s="853"/>
      <c r="E278" s="854"/>
      <c r="F278" s="1175">
        <f>SUM(I268:M268)</f>
        <v>1418995915.2218564</v>
      </c>
      <c r="G278" s="298"/>
    </row>
    <row r="279" spans="2:12" ht="15" customHeight="1">
      <c r="B279" s="442" t="s">
        <v>307</v>
      </c>
      <c r="C279" s="830">
        <v>0.8</v>
      </c>
      <c r="D279" s="830">
        <v>0.06</v>
      </c>
      <c r="E279" s="832">
        <v>1</v>
      </c>
      <c r="F279" s="865">
        <f>F278*C279</f>
        <v>1135196732.1774852</v>
      </c>
      <c r="G279" s="319">
        <f>D279*E279*F279</f>
        <v>68111803.930649117</v>
      </c>
      <c r="I279" s="147"/>
      <c r="J279" s="147"/>
      <c r="K279" s="147"/>
      <c r="L279" s="147"/>
    </row>
    <row r="280" spans="2:12" ht="15" customHeight="1">
      <c r="B280" s="442" t="s">
        <v>309</v>
      </c>
      <c r="C280" s="830">
        <v>0.2</v>
      </c>
      <c r="D280" s="830">
        <v>0.08</v>
      </c>
      <c r="E280" s="832">
        <v>2</v>
      </c>
      <c r="F280" s="865">
        <f>F278*C280</f>
        <v>283799183.04437131</v>
      </c>
      <c r="G280" s="319">
        <f>D280*E280*F280</f>
        <v>45407869.287099414</v>
      </c>
      <c r="H280" s="1173"/>
      <c r="I280" s="147"/>
      <c r="J280" s="147"/>
      <c r="K280" s="147"/>
      <c r="L280" s="147"/>
    </row>
    <row r="281" spans="2:12" ht="15" customHeight="1">
      <c r="B281" s="869"/>
      <c r="C281" s="870"/>
      <c r="D281" s="871"/>
      <c r="E281" s="841"/>
      <c r="F281" s="872"/>
      <c r="G281" s="491">
        <f>SUM(G279:G280)</f>
        <v>113519673.21774852</v>
      </c>
    </row>
    <row r="282" spans="2:12" ht="15" customHeight="1">
      <c r="B282" s="878" t="s">
        <v>311</v>
      </c>
      <c r="C282" s="879"/>
      <c r="D282" s="510"/>
      <c r="E282" s="880"/>
      <c r="F282" s="512"/>
      <c r="G282" s="1077">
        <f>G277+G281</f>
        <v>168662593.2316049</v>
      </c>
    </row>
    <row r="283" spans="2:12" ht="15" customHeight="1">
      <c r="B283" s="881"/>
      <c r="C283" s="514"/>
      <c r="D283" s="515"/>
      <c r="E283" s="609" t="s">
        <v>154</v>
      </c>
      <c r="F283" s="882" t="s">
        <v>83</v>
      </c>
      <c r="G283" s="992">
        <f>G282/C35</f>
        <v>11828.500822750888</v>
      </c>
    </row>
    <row r="284" spans="2:12" ht="15" customHeight="1">
      <c r="B284" s="721"/>
      <c r="C284" s="164"/>
      <c r="D284" s="344"/>
      <c r="E284" s="348"/>
      <c r="F284" s="884" t="s">
        <v>84</v>
      </c>
      <c r="G284" s="1001">
        <f>G282/C16</f>
        <v>10856.941952468935</v>
      </c>
    </row>
    <row r="285" spans="2:12" ht="15" customHeight="1" thickBot="1">
      <c r="B285" s="723"/>
      <c r="C285" s="350"/>
      <c r="D285" s="351"/>
      <c r="E285" s="352"/>
      <c r="F285" s="905" t="s">
        <v>155</v>
      </c>
      <c r="G285" s="1002">
        <f>G282/G302</f>
        <v>0.10393445971384066</v>
      </c>
    </row>
    <row r="286" spans="2:12" ht="20" customHeight="1" thickBot="1">
      <c r="B286" s="274"/>
      <c r="C286" s="164"/>
      <c r="D286" s="344"/>
      <c r="E286" s="348"/>
      <c r="F286" s="884"/>
      <c r="G286" s="913"/>
    </row>
    <row r="287" spans="2:12" ht="15" customHeight="1">
      <c r="B287" s="1176" t="s">
        <v>384</v>
      </c>
      <c r="C287" s="287"/>
      <c r="D287" s="411" t="s">
        <v>295</v>
      </c>
      <c r="E287" s="411" t="s">
        <v>296</v>
      </c>
      <c r="F287" s="411" t="s">
        <v>297</v>
      </c>
      <c r="G287" s="1177" t="s">
        <v>313</v>
      </c>
    </row>
    <row r="288" spans="2:12" ht="15" customHeight="1">
      <c r="B288" s="714" t="s">
        <v>314</v>
      </c>
      <c r="C288" s="457"/>
      <c r="D288" s="295" t="s">
        <v>245</v>
      </c>
      <c r="E288" s="898">
        <v>42</v>
      </c>
      <c r="F288" s="899">
        <v>50000</v>
      </c>
      <c r="G288" s="1178">
        <f>F288*E288</f>
        <v>2100000</v>
      </c>
    </row>
    <row r="289" spans="2:8" ht="15" customHeight="1">
      <c r="B289" s="528" t="s">
        <v>315</v>
      </c>
      <c r="C289" s="175"/>
      <c r="D289" s="308"/>
      <c r="E289" s="900"/>
      <c r="F289" s="901"/>
      <c r="G289" s="904"/>
    </row>
    <row r="290" spans="2:8" ht="15" customHeight="1">
      <c r="B290" s="528" t="s">
        <v>316</v>
      </c>
      <c r="C290" s="175" t="s">
        <v>385</v>
      </c>
      <c r="D290" s="308" t="s">
        <v>245</v>
      </c>
      <c r="E290" s="900">
        <f>D55</f>
        <v>36</v>
      </c>
      <c r="F290" s="901">
        <v>100000</v>
      </c>
      <c r="G290" s="1179">
        <f>E290*F290</f>
        <v>3600000</v>
      </c>
    </row>
    <row r="291" spans="2:8" ht="15" customHeight="1">
      <c r="B291" s="177" t="s">
        <v>317</v>
      </c>
      <c r="C291" s="175"/>
      <c r="D291" s="308" t="s">
        <v>245</v>
      </c>
      <c r="E291" s="900">
        <v>36</v>
      </c>
      <c r="F291" s="901">
        <v>5000</v>
      </c>
      <c r="G291" s="904">
        <f>E291*F291</f>
        <v>180000</v>
      </c>
    </row>
    <row r="292" spans="2:8" ht="15" customHeight="1">
      <c r="B292" s="177" t="s">
        <v>318</v>
      </c>
      <c r="C292" s="175"/>
      <c r="D292" s="308" t="s">
        <v>245</v>
      </c>
      <c r="E292" s="900">
        <v>0</v>
      </c>
      <c r="F292" s="901">
        <v>12000</v>
      </c>
      <c r="G292" s="904">
        <f>E292*F292</f>
        <v>0</v>
      </c>
    </row>
    <row r="293" spans="2:8" ht="15" customHeight="1">
      <c r="B293" s="177" t="s">
        <v>319</v>
      </c>
      <c r="C293" s="175"/>
      <c r="D293" s="308" t="s">
        <v>245</v>
      </c>
      <c r="E293" s="900">
        <v>0</v>
      </c>
      <c r="F293" s="901">
        <v>15000</v>
      </c>
      <c r="G293" s="904">
        <f>E293*F293</f>
        <v>0</v>
      </c>
    </row>
    <row r="294" spans="2:8" ht="15" customHeight="1">
      <c r="B294" s="394" t="s">
        <v>320</v>
      </c>
      <c r="C294" s="175"/>
      <c r="D294" s="308" t="s">
        <v>321</v>
      </c>
      <c r="E294" s="900">
        <v>8</v>
      </c>
      <c r="F294" s="901">
        <v>400000</v>
      </c>
      <c r="G294" s="904">
        <f>E294*F294</f>
        <v>3200000</v>
      </c>
    </row>
    <row r="295" spans="2:8" ht="15" customHeight="1">
      <c r="B295" s="903"/>
      <c r="C295" s="175"/>
      <c r="D295" s="308"/>
      <c r="E295" s="900"/>
      <c r="F295" s="901"/>
      <c r="G295" s="904"/>
    </row>
    <row r="296" spans="2:8" ht="15" customHeight="1">
      <c r="B296" s="508" t="s">
        <v>386</v>
      </c>
      <c r="C296" s="334"/>
      <c r="D296" s="335"/>
      <c r="E296" s="336"/>
      <c r="F296" s="406"/>
      <c r="G296" s="1085">
        <f>SUM(G288:G295)</f>
        <v>9080000</v>
      </c>
    </row>
    <row r="297" spans="2:8" ht="15" customHeight="1">
      <c r="B297" s="881"/>
      <c r="C297" s="514"/>
      <c r="D297" s="515"/>
      <c r="E297" s="609" t="s">
        <v>154</v>
      </c>
      <c r="F297" s="882" t="s">
        <v>83</v>
      </c>
      <c r="G297" s="992">
        <f>G296/C35</f>
        <v>636.79079879374433</v>
      </c>
    </row>
    <row r="298" spans="2:8" ht="15" customHeight="1">
      <c r="B298" s="721"/>
      <c r="C298" s="164"/>
      <c r="D298" s="344"/>
      <c r="E298" s="348"/>
      <c r="F298" s="884" t="s">
        <v>84</v>
      </c>
      <c r="G298" s="1001">
        <f>G296/C16</f>
        <v>584.48664306404896</v>
      </c>
    </row>
    <row r="299" spans="2:8" ht="15" customHeight="1" thickBot="1">
      <c r="B299" s="723"/>
      <c r="C299" s="350"/>
      <c r="D299" s="351"/>
      <c r="E299" s="352"/>
      <c r="F299" s="905" t="s">
        <v>155</v>
      </c>
      <c r="G299" s="1002">
        <f>G296/G302</f>
        <v>5.5953420146088026E-3</v>
      </c>
    </row>
    <row r="300" spans="2:8" ht="20" customHeight="1">
      <c r="B300" s="274"/>
      <c r="C300" s="164"/>
      <c r="D300" s="344"/>
      <c r="E300" s="348"/>
      <c r="F300" s="884"/>
      <c r="G300" s="913"/>
    </row>
    <row r="301" spans="2:8" ht="20" customHeight="1" thickBot="1">
      <c r="B301" s="350"/>
      <c r="C301" s="350"/>
      <c r="D301" s="351"/>
      <c r="E301" s="352"/>
      <c r="F301" s="914"/>
      <c r="G301" s="915"/>
      <c r="H301" s="141" t="s">
        <v>3</v>
      </c>
    </row>
    <row r="302" spans="2:8" ht="30" customHeight="1" thickBot="1">
      <c r="B302" s="797" t="s">
        <v>323</v>
      </c>
      <c r="C302" s="798"/>
      <c r="D302" s="799"/>
      <c r="E302" s="799"/>
      <c r="F302" s="800"/>
      <c r="G302" s="801">
        <f>G282+G296+G268</f>
        <v>1622778371.0617065</v>
      </c>
    </row>
    <row r="303" spans="2:8" ht="15" customHeight="1"/>
    <row r="304" spans="2:8" ht="15" customHeight="1">
      <c r="B304" s="274"/>
      <c r="C304" s="274"/>
      <c r="D304" s="929"/>
      <c r="E304" s="1484" t="s">
        <v>154</v>
      </c>
      <c r="F304" s="1180" t="s">
        <v>83</v>
      </c>
      <c r="G304" s="1181">
        <f>G302/C35</f>
        <v>113807.30563585852</v>
      </c>
    </row>
    <row r="305" spans="2:15" ht="15" customHeight="1">
      <c r="B305" s="274"/>
      <c r="C305" s="274"/>
      <c r="D305" s="929"/>
      <c r="E305" s="1485"/>
      <c r="F305" s="1182" t="s">
        <v>84</v>
      </c>
      <c r="G305" s="1183">
        <f>G302/C16</f>
        <v>104459.50248224696</v>
      </c>
    </row>
    <row r="306" spans="2:15" ht="15" customHeight="1">
      <c r="B306" s="274"/>
      <c r="C306" s="274"/>
      <c r="D306" s="929"/>
      <c r="E306" s="929"/>
      <c r="F306" s="938"/>
      <c r="G306" s="939"/>
      <c r="I306" s="149"/>
      <c r="J306" s="149"/>
      <c r="K306" s="149"/>
      <c r="L306" s="149"/>
    </row>
    <row r="307" spans="2:15" ht="15" customHeight="1" thickBot="1">
      <c r="B307" s="274"/>
      <c r="C307" s="274"/>
      <c r="D307" s="929"/>
      <c r="E307" s="929"/>
      <c r="F307" s="938"/>
      <c r="G307" s="939"/>
      <c r="I307" s="149"/>
      <c r="J307" s="149"/>
      <c r="K307" s="149"/>
      <c r="L307" s="149"/>
    </row>
    <row r="308" spans="2:15" ht="15" customHeight="1">
      <c r="B308" s="1487" t="s">
        <v>325</v>
      </c>
      <c r="C308" s="1488"/>
      <c r="D308" s="1488"/>
      <c r="E308" s="1488"/>
      <c r="F308" s="1488"/>
      <c r="G308" s="1489"/>
      <c r="I308" s="149"/>
      <c r="J308" s="149"/>
      <c r="K308" s="149"/>
      <c r="L308" s="149"/>
    </row>
    <row r="309" spans="2:15" ht="15" customHeight="1" thickBot="1">
      <c r="B309" s="1490"/>
      <c r="C309" s="1491"/>
      <c r="D309" s="1491"/>
      <c r="E309" s="1491"/>
      <c r="F309" s="1491"/>
      <c r="G309" s="1492"/>
      <c r="I309" s="940"/>
      <c r="J309" s="940"/>
      <c r="K309" s="940"/>
      <c r="L309" s="940"/>
    </row>
    <row r="310" spans="2:15" ht="15" customHeight="1" thickBot="1">
      <c r="B310" s="274"/>
      <c r="C310" s="274"/>
      <c r="E310" s="794"/>
      <c r="F310" s="938" t="s">
        <v>326</v>
      </c>
      <c r="G310" s="939" t="s">
        <v>327</v>
      </c>
      <c r="I310" s="1493" t="s">
        <v>328</v>
      </c>
      <c r="J310" s="1494"/>
      <c r="K310" s="1494"/>
      <c r="L310" s="1495"/>
      <c r="M310" s="941"/>
      <c r="N310" s="941"/>
    </row>
    <row r="311" spans="2:15" ht="15" customHeight="1">
      <c r="B311" s="1184" t="s">
        <v>329</v>
      </c>
      <c r="C311" s="1185"/>
      <c r="D311" s="1185"/>
      <c r="E311" s="1185"/>
      <c r="F311" s="1186" t="s">
        <v>387</v>
      </c>
      <c r="G311" s="1187"/>
      <c r="I311" s="1188" t="s">
        <v>73</v>
      </c>
      <c r="J311" s="1189" t="s">
        <v>330</v>
      </c>
      <c r="K311" s="1190" t="s">
        <v>331</v>
      </c>
      <c r="L311" s="1191" t="s">
        <v>332</v>
      </c>
      <c r="O311" s="978"/>
    </row>
    <row r="312" spans="2:15" ht="15" customHeight="1">
      <c r="B312" s="945" t="s">
        <v>369</v>
      </c>
      <c r="C312" s="294"/>
      <c r="D312" s="686" t="s">
        <v>73</v>
      </c>
      <c r="E312" s="946">
        <f>C25</f>
        <v>12852</v>
      </c>
      <c r="F312" s="1192">
        <v>25</v>
      </c>
      <c r="G312" s="1193">
        <f>E312*F312</f>
        <v>321300</v>
      </c>
      <c r="H312" s="949"/>
      <c r="I312" s="950">
        <v>25</v>
      </c>
      <c r="J312" s="951">
        <f>F312</f>
        <v>25</v>
      </c>
      <c r="K312" s="952">
        <f>I312*J312</f>
        <v>625</v>
      </c>
      <c r="L312" s="953">
        <f>K312*1.12</f>
        <v>700.00000000000011</v>
      </c>
    </row>
    <row r="313" spans="2:15" ht="15" customHeight="1">
      <c r="B313" s="177" t="s">
        <v>86</v>
      </c>
      <c r="C313" s="955"/>
      <c r="D313" s="443" t="s">
        <v>73</v>
      </c>
      <c r="E313" s="956">
        <f>C26</f>
        <v>0</v>
      </c>
      <c r="F313" s="1194">
        <v>0</v>
      </c>
      <c r="G313" s="1195">
        <f>+F313*E313</f>
        <v>0</v>
      </c>
      <c r="H313" s="949"/>
      <c r="I313" s="958"/>
      <c r="J313" s="959"/>
      <c r="K313" s="959"/>
      <c r="L313" s="960"/>
      <c r="M313" s="961"/>
      <c r="N313" s="965"/>
    </row>
    <row r="314" spans="2:15" ht="15" customHeight="1">
      <c r="B314" s="177" t="s">
        <v>86</v>
      </c>
      <c r="C314" s="955"/>
      <c r="D314" s="443" t="s">
        <v>73</v>
      </c>
      <c r="E314" s="956">
        <f>C27</f>
        <v>0</v>
      </c>
      <c r="F314" s="1194">
        <v>0</v>
      </c>
      <c r="G314" s="1195">
        <f>+F314*E314</f>
        <v>0</v>
      </c>
      <c r="H314" s="949"/>
      <c r="I314" s="963"/>
      <c r="J314" s="217"/>
      <c r="K314" s="217"/>
      <c r="L314" s="964"/>
      <c r="M314" s="961"/>
      <c r="N314" s="965"/>
    </row>
    <row r="315" spans="2:15" ht="15" customHeight="1">
      <c r="B315" s="177" t="s">
        <v>86</v>
      </c>
      <c r="C315" s="955"/>
      <c r="D315" s="443" t="s">
        <v>73</v>
      </c>
      <c r="E315" s="956">
        <f>C28</f>
        <v>1407</v>
      </c>
      <c r="F315" s="1194">
        <v>0</v>
      </c>
      <c r="G315" s="1195">
        <f>+F315*E315</f>
        <v>0</v>
      </c>
      <c r="H315" s="949"/>
      <c r="I315" s="966"/>
      <c r="J315" s="967"/>
      <c r="K315" s="967"/>
      <c r="L315" s="227"/>
      <c r="M315" s="961"/>
      <c r="N315" s="965"/>
    </row>
    <row r="316" spans="2:15" ht="15" customHeight="1">
      <c r="B316" s="177" t="s">
        <v>217</v>
      </c>
      <c r="C316" s="955"/>
      <c r="D316" s="443" t="s">
        <v>73</v>
      </c>
      <c r="E316" s="956">
        <f>C28</f>
        <v>1407</v>
      </c>
      <c r="F316" s="1196">
        <v>25</v>
      </c>
      <c r="G316" s="1197">
        <f>+F316*E316</f>
        <v>35175</v>
      </c>
      <c r="H316" s="949"/>
      <c r="I316" s="950">
        <v>30</v>
      </c>
      <c r="J316" s="951">
        <f>F312</f>
        <v>25</v>
      </c>
      <c r="K316" s="952">
        <f>I316*J316</f>
        <v>750</v>
      </c>
      <c r="L316" s="953">
        <f>K316*1.12</f>
        <v>840.00000000000011</v>
      </c>
      <c r="M316" s="941"/>
      <c r="N316" s="941"/>
    </row>
    <row r="317" spans="2:15" ht="15" customHeight="1" thickBot="1">
      <c r="B317" s="177" t="s">
        <v>333</v>
      </c>
      <c r="C317" s="537"/>
      <c r="D317" s="443" t="s">
        <v>73</v>
      </c>
      <c r="E317" s="180">
        <f>C30</f>
        <v>0</v>
      </c>
      <c r="F317" s="1194"/>
      <c r="G317" s="1198">
        <f>E317*F317</f>
        <v>0</v>
      </c>
      <c r="H317" s="949"/>
      <c r="I317" s="969">
        <v>35</v>
      </c>
      <c r="J317" s="970">
        <f>F312</f>
        <v>25</v>
      </c>
      <c r="K317" s="971">
        <f>I317*J317</f>
        <v>875</v>
      </c>
      <c r="L317" s="972">
        <f>K317*1.12</f>
        <v>980.00000000000011</v>
      </c>
      <c r="M317" s="973"/>
      <c r="N317" s="978"/>
    </row>
    <row r="318" spans="2:15" ht="15" customHeight="1">
      <c r="B318" s="177" t="s">
        <v>220</v>
      </c>
      <c r="C318" s="175" t="s">
        <v>3</v>
      </c>
      <c r="D318" s="443" t="s">
        <v>91</v>
      </c>
      <c r="E318" s="180">
        <f>C31</f>
        <v>0</v>
      </c>
      <c r="F318" s="1194"/>
      <c r="G318" s="1199">
        <f>+F318*E318</f>
        <v>0</v>
      </c>
      <c r="H318" s="949"/>
      <c r="I318" s="976"/>
      <c r="J318" s="976"/>
      <c r="K318" s="976"/>
      <c r="L318" s="977"/>
      <c r="M318" s="961"/>
      <c r="N318" s="965"/>
    </row>
    <row r="319" spans="2:15" ht="15" customHeight="1">
      <c r="B319" s="177" t="s">
        <v>334</v>
      </c>
      <c r="C319" s="537"/>
      <c r="D319" s="443" t="s">
        <v>91</v>
      </c>
      <c r="E319" s="180">
        <f>C33</f>
        <v>78</v>
      </c>
      <c r="F319" s="1200">
        <v>250</v>
      </c>
      <c r="G319" s="1201">
        <f>+F319*E319</f>
        <v>19500</v>
      </c>
      <c r="H319" s="949"/>
      <c r="I319" s="976"/>
      <c r="J319" s="976"/>
      <c r="K319" s="976"/>
      <c r="L319" s="977"/>
      <c r="M319" s="961"/>
      <c r="N319" s="965"/>
    </row>
    <row r="320" spans="2:15" ht="15" customHeight="1">
      <c r="B320" s="980" t="s">
        <v>335</v>
      </c>
      <c r="C320" s="569"/>
      <c r="D320" s="541" t="s">
        <v>91</v>
      </c>
      <c r="E320" s="695">
        <f>C34</f>
        <v>0</v>
      </c>
      <c r="F320" s="1202">
        <v>0</v>
      </c>
      <c r="G320" s="1203">
        <f>+F320*E320</f>
        <v>0</v>
      </c>
      <c r="H320" s="983"/>
      <c r="I320" s="582"/>
      <c r="J320" s="582"/>
      <c r="K320" s="582"/>
      <c r="L320" s="794"/>
      <c r="M320" s="965"/>
      <c r="N320" s="965"/>
    </row>
    <row r="321" spans="2:14" ht="15" customHeight="1">
      <c r="B321" s="984" t="s">
        <v>336</v>
      </c>
      <c r="C321" s="985"/>
      <c r="D321" s="986"/>
      <c r="E321" s="987"/>
      <c r="F321" s="988"/>
      <c r="G321" s="1204">
        <f>SUM(G312:G320)</f>
        <v>375975</v>
      </c>
      <c r="H321" s="949"/>
      <c r="I321" s="990"/>
      <c r="J321" s="990"/>
      <c r="K321" s="990"/>
      <c r="M321" s="991"/>
      <c r="N321" s="991"/>
    </row>
    <row r="322" spans="2:14" ht="15" customHeight="1">
      <c r="B322" s="881"/>
      <c r="C322" s="514"/>
      <c r="D322" s="515"/>
      <c r="E322" s="609"/>
      <c r="F322" s="882" t="s">
        <v>388</v>
      </c>
      <c r="G322" s="1205">
        <v>0.95</v>
      </c>
      <c r="H322" s="940"/>
      <c r="L322" s="793"/>
      <c r="M322" s="993"/>
      <c r="N322" s="965"/>
    </row>
    <row r="323" spans="2:14" ht="15" customHeight="1">
      <c r="B323" s="721"/>
      <c r="C323" s="164"/>
      <c r="D323" s="344"/>
      <c r="E323" s="348"/>
      <c r="F323" s="884" t="s">
        <v>389</v>
      </c>
      <c r="G323" s="1206">
        <f>G321</f>
        <v>375975</v>
      </c>
      <c r="H323" s="940"/>
      <c r="L323" s="793"/>
      <c r="M323" s="793"/>
    </row>
    <row r="324" spans="2:14" ht="15" customHeight="1">
      <c r="B324" s="721"/>
      <c r="C324" s="164"/>
      <c r="D324" s="344"/>
      <c r="E324" s="348"/>
      <c r="F324" s="884" t="s">
        <v>390</v>
      </c>
      <c r="G324" s="1206">
        <f>G323*12</f>
        <v>4511700</v>
      </c>
      <c r="H324" s="940"/>
      <c r="L324" s="793"/>
      <c r="M324" s="793"/>
    </row>
    <row r="325" spans="2:14" ht="15" customHeight="1">
      <c r="B325" s="721"/>
      <c r="C325" s="164"/>
      <c r="D325" s="344"/>
      <c r="E325" s="348"/>
      <c r="F325" s="884" t="s">
        <v>391</v>
      </c>
      <c r="G325" s="1207">
        <f>G324*G322</f>
        <v>4286115</v>
      </c>
      <c r="H325" s="940"/>
      <c r="L325" s="793"/>
      <c r="M325" s="793"/>
    </row>
    <row r="326" spans="2:14" ht="15" customHeight="1">
      <c r="B326" s="721"/>
      <c r="C326" s="164"/>
      <c r="D326" s="344"/>
      <c r="E326" s="348"/>
      <c r="F326" s="884"/>
      <c r="G326" s="1207"/>
      <c r="H326" s="940"/>
      <c r="L326" s="793"/>
      <c r="M326" s="793"/>
    </row>
    <row r="327" spans="2:14" ht="15" customHeight="1">
      <c r="B327" s="721"/>
      <c r="C327" s="164"/>
      <c r="D327" s="344"/>
      <c r="E327" s="348"/>
      <c r="F327" s="884" t="s">
        <v>392</v>
      </c>
      <c r="G327" s="1343">
        <v>5.5E-2</v>
      </c>
      <c r="H327" s="940"/>
      <c r="L327" s="793"/>
      <c r="M327" s="793"/>
    </row>
    <row r="328" spans="2:14" ht="15" customHeight="1">
      <c r="B328" s="721"/>
      <c r="C328" s="164"/>
      <c r="D328" s="344"/>
      <c r="E328" s="348"/>
      <c r="F328" s="884" t="s">
        <v>393</v>
      </c>
      <c r="G328" s="1207">
        <f>G325/G327</f>
        <v>77929363.63636364</v>
      </c>
      <c r="H328" s="940"/>
      <c r="L328" s="793"/>
      <c r="M328" s="793"/>
    </row>
    <row r="329" spans="2:14" ht="15" customHeight="1">
      <c r="B329" s="721"/>
      <c r="C329" s="164"/>
      <c r="D329" s="344"/>
      <c r="E329" s="348"/>
      <c r="F329" s="884"/>
      <c r="G329" s="1208">
        <f>G328*25</f>
        <v>1948234090.909091</v>
      </c>
      <c r="H329" s="940"/>
      <c r="L329" s="793"/>
      <c r="M329" s="793"/>
    </row>
    <row r="330" spans="2:14" ht="15" customHeight="1">
      <c r="B330" s="721"/>
      <c r="C330" s="164"/>
      <c r="D330" s="344"/>
      <c r="E330" s="348"/>
      <c r="F330" s="884"/>
      <c r="G330" s="1207"/>
      <c r="H330" s="940"/>
      <c r="L330" s="793"/>
      <c r="M330" s="793"/>
    </row>
    <row r="331" spans="2:14" ht="15" customHeight="1" thickBot="1">
      <c r="B331" s="723"/>
      <c r="C331" s="350"/>
      <c r="D331" s="351"/>
      <c r="E331" s="352"/>
      <c r="F331" s="905"/>
      <c r="G331" s="1002"/>
      <c r="H331" s="940"/>
      <c r="L331" s="793"/>
      <c r="M331" s="793"/>
    </row>
    <row r="332" spans="2:14" ht="15" customHeight="1" thickBot="1">
      <c r="B332" s="995"/>
      <c r="C332" s="164"/>
      <c r="D332" s="344"/>
      <c r="E332" s="348"/>
      <c r="F332" s="647"/>
      <c r="G332" s="996"/>
      <c r="H332" s="940"/>
      <c r="L332" s="793"/>
      <c r="M332" s="793"/>
    </row>
    <row r="333" spans="2:14" ht="15" customHeight="1">
      <c r="B333" s="1496" t="s">
        <v>337</v>
      </c>
      <c r="C333" s="1497"/>
      <c r="D333" s="1497"/>
      <c r="E333" s="1497"/>
      <c r="F333" s="1497"/>
      <c r="G333" s="1498"/>
      <c r="H333" s="940"/>
      <c r="L333" s="793"/>
      <c r="M333" s="793"/>
    </row>
    <row r="334" spans="2:14" ht="15" customHeight="1">
      <c r="B334" s="383" t="s">
        <v>338</v>
      </c>
      <c r="C334" s="457"/>
      <c r="D334" s="295"/>
      <c r="E334" s="739"/>
      <c r="F334" s="297"/>
      <c r="G334" s="298"/>
      <c r="H334" s="940"/>
      <c r="L334" s="793"/>
      <c r="M334" s="793"/>
    </row>
    <row r="335" spans="2:14" ht="15" customHeight="1">
      <c r="B335" s="394" t="s">
        <v>339</v>
      </c>
      <c r="C335" s="175"/>
      <c r="D335" s="308"/>
      <c r="E335" s="768"/>
      <c r="F335" s="321"/>
      <c r="G335" s="319"/>
      <c r="H335" s="940"/>
      <c r="L335" s="793"/>
      <c r="M335" s="793"/>
    </row>
    <row r="336" spans="2:14" ht="15" customHeight="1">
      <c r="B336" s="400" t="s">
        <v>340</v>
      </c>
      <c r="C336" s="751"/>
      <c r="D336" s="329"/>
      <c r="E336" s="752"/>
      <c r="F336" s="490"/>
      <c r="G336" s="1209"/>
      <c r="H336" s="940"/>
      <c r="L336" s="793"/>
      <c r="M336" s="793"/>
    </row>
    <row r="337" spans="2:13" ht="15" customHeight="1">
      <c r="B337" s="984" t="s">
        <v>341</v>
      </c>
      <c r="C337" s="985"/>
      <c r="D337" s="986"/>
      <c r="E337" s="987"/>
      <c r="F337" s="988"/>
      <c r="G337" s="1000">
        <f>SUM(G332:G336)</f>
        <v>0</v>
      </c>
      <c r="H337" s="940"/>
      <c r="L337" s="793"/>
      <c r="M337" s="793"/>
    </row>
    <row r="338" spans="2:13" ht="15" customHeight="1">
      <c r="B338" s="881"/>
      <c r="C338" s="514"/>
      <c r="D338" s="515"/>
      <c r="E338" s="609" t="s">
        <v>154</v>
      </c>
      <c r="F338" s="882" t="s">
        <v>83</v>
      </c>
      <c r="G338" s="992">
        <f>G337/C35</f>
        <v>0</v>
      </c>
      <c r="H338" s="940"/>
      <c r="L338" s="793"/>
      <c r="M338" s="793"/>
    </row>
    <row r="339" spans="2:13" ht="15" customHeight="1">
      <c r="B339" s="721"/>
      <c r="C339" s="164"/>
      <c r="D339" s="344"/>
      <c r="E339" s="348"/>
      <c r="F339" s="884" t="s">
        <v>84</v>
      </c>
      <c r="G339" s="1001">
        <f>G337/C16</f>
        <v>0</v>
      </c>
      <c r="H339" s="940"/>
      <c r="L339" s="793"/>
      <c r="M339" s="793"/>
    </row>
    <row r="340" spans="2:13" ht="15" customHeight="1" thickBot="1">
      <c r="B340" s="723"/>
      <c r="C340" s="350"/>
      <c r="D340" s="351"/>
      <c r="E340" s="352"/>
      <c r="F340" s="905" t="s">
        <v>155</v>
      </c>
      <c r="G340" s="1002">
        <f>G337/G302</f>
        <v>0</v>
      </c>
      <c r="H340" s="940"/>
      <c r="L340" s="793"/>
      <c r="M340" s="793"/>
    </row>
    <row r="341" spans="2:13" ht="15" customHeight="1" thickBot="1">
      <c r="B341" s="1003"/>
      <c r="C341" s="164"/>
      <c r="D341" s="344"/>
      <c r="E341" s="348"/>
      <c r="F341" s="884"/>
      <c r="G341" s="1004"/>
      <c r="H341" s="940"/>
      <c r="L341" s="793"/>
      <c r="M341" s="793"/>
    </row>
    <row r="342" spans="2:13" ht="15" customHeight="1">
      <c r="B342" s="1496" t="s">
        <v>342</v>
      </c>
      <c r="C342" s="1497"/>
      <c r="D342" s="1497"/>
      <c r="E342" s="1497"/>
      <c r="F342" s="1497"/>
      <c r="G342" s="1498"/>
      <c r="H342" s="940"/>
      <c r="L342" s="793"/>
      <c r="M342" s="793"/>
    </row>
    <row r="343" spans="2:13" ht="15" customHeight="1">
      <c r="B343" s="945"/>
      <c r="C343" s="294"/>
      <c r="D343" s="686"/>
      <c r="E343" s="946" t="str">
        <f>C48</f>
        <v xml:space="preserve"> </v>
      </c>
      <c r="F343" s="1210"/>
      <c r="G343" s="1211"/>
      <c r="H343" s="940"/>
      <c r="L343" s="793"/>
      <c r="M343" s="793"/>
    </row>
    <row r="344" spans="2:13" ht="15" customHeight="1">
      <c r="B344" s="177"/>
      <c r="C344" s="955"/>
      <c r="D344" s="443"/>
      <c r="E344" s="956">
        <f>C49</f>
        <v>0</v>
      </c>
      <c r="F344" s="1194"/>
      <c r="G344" s="1195"/>
      <c r="H344" s="940"/>
      <c r="L344" s="793"/>
      <c r="M344" s="793"/>
    </row>
    <row r="345" spans="2:13" ht="15" customHeight="1">
      <c r="B345" s="980"/>
      <c r="C345" s="569"/>
      <c r="D345" s="541"/>
      <c r="E345" s="695">
        <f>C56</f>
        <v>0</v>
      </c>
      <c r="F345" s="1202">
        <v>0</v>
      </c>
      <c r="G345" s="1203"/>
      <c r="H345" s="940"/>
      <c r="L345" s="793"/>
      <c r="M345" s="793"/>
    </row>
    <row r="346" spans="2:13" ht="15" customHeight="1" thickBot="1">
      <c r="B346" s="1005" t="s">
        <v>289</v>
      </c>
      <c r="C346" s="1006"/>
      <c r="D346" s="1007"/>
      <c r="E346" s="1008"/>
      <c r="F346" s="1009"/>
      <c r="G346" s="1010">
        <v>0</v>
      </c>
      <c r="H346" s="940"/>
      <c r="L346" s="793"/>
      <c r="M346" s="793"/>
    </row>
    <row r="347" spans="2:13" ht="15" customHeight="1">
      <c r="B347" s="1003"/>
      <c r="C347" s="164"/>
      <c r="D347" s="344"/>
      <c r="E347" s="348"/>
      <c r="F347" s="884"/>
      <c r="G347" s="1004"/>
      <c r="H347" s="940"/>
      <c r="L347" s="793"/>
      <c r="M347" s="793"/>
    </row>
    <row r="348" spans="2:13" ht="15" customHeight="1" thickBot="1">
      <c r="B348" s="1011"/>
      <c r="G348" s="1012"/>
    </row>
    <row r="349" spans="2:13" ht="15" customHeight="1">
      <c r="B349" s="1011"/>
      <c r="E349" s="1499" t="s">
        <v>343</v>
      </c>
      <c r="F349" s="1500"/>
      <c r="G349" s="1503">
        <f>G329</f>
        <v>1948234090.909091</v>
      </c>
    </row>
    <row r="350" spans="2:13" ht="15" customHeight="1" thickBot="1">
      <c r="B350" s="1011"/>
      <c r="E350" s="1501"/>
      <c r="F350" s="1502"/>
      <c r="G350" s="1504"/>
    </row>
    <row r="351" spans="2:13" ht="15" customHeight="1">
      <c r="B351" s="1011"/>
      <c r="E351" s="837"/>
      <c r="F351" s="837"/>
      <c r="G351" s="1013"/>
      <c r="H351" s="939"/>
    </row>
    <row r="352" spans="2:13" ht="15" customHeight="1">
      <c r="B352" s="1011"/>
      <c r="E352" s="1505" t="s">
        <v>154</v>
      </c>
      <c r="F352" s="1014" t="s">
        <v>83</v>
      </c>
      <c r="G352" s="1015">
        <f>G349/C35</f>
        <v>136631.8879941855</v>
      </c>
    </row>
    <row r="353" spans="2:7" ht="15" customHeight="1">
      <c r="B353" s="1016"/>
      <c r="C353" s="1017"/>
      <c r="D353" s="1017"/>
      <c r="E353" s="1506"/>
      <c r="F353" s="1018" t="s">
        <v>84</v>
      </c>
      <c r="G353" s="1019">
        <f>G349/C16</f>
        <v>125409.33961436054</v>
      </c>
    </row>
    <row r="354" spans="2:7" ht="15" customHeight="1"/>
    <row r="355" spans="2:7" ht="15" customHeight="1"/>
    <row r="356" spans="2:7" ht="15" customHeight="1">
      <c r="B356" s="1507" t="s">
        <v>344</v>
      </c>
      <c r="C356" s="1507"/>
      <c r="D356" s="1507"/>
      <c r="E356" s="1507"/>
      <c r="F356" s="1507"/>
      <c r="G356" s="1507"/>
    </row>
    <row r="357" spans="2:7" ht="15" customHeight="1">
      <c r="B357" s="1507"/>
      <c r="C357" s="1507"/>
      <c r="D357" s="1507"/>
      <c r="E357" s="1507"/>
      <c r="F357" s="1507"/>
      <c r="G357" s="1507"/>
    </row>
    <row r="358" spans="2:7" ht="15" customHeight="1"/>
    <row r="359" spans="2:7" ht="15" customHeight="1">
      <c r="C359" s="1212" t="s">
        <v>345</v>
      </c>
      <c r="D359" s="1213"/>
      <c r="E359" s="1213"/>
      <c r="F359" s="1214"/>
      <c r="G359" s="1215">
        <f>G349-G302</f>
        <v>325455719.84738445</v>
      </c>
    </row>
    <row r="360" spans="2:7" ht="15" customHeight="1">
      <c r="F360" s="149" t="s">
        <v>346</v>
      </c>
      <c r="G360" s="1056">
        <f>G359/G302</f>
        <v>0.20055463250625793</v>
      </c>
    </row>
    <row r="361" spans="2:7" ht="15" customHeight="1">
      <c r="F361" s="149" t="s">
        <v>347</v>
      </c>
      <c r="G361" s="1216">
        <f>G359/G349</f>
        <v>0.16705165019236437</v>
      </c>
    </row>
    <row r="362" spans="2:7" ht="15" customHeight="1">
      <c r="F362" s="149"/>
      <c r="G362" s="1217"/>
    </row>
    <row r="363" spans="2:7" ht="15" customHeight="1">
      <c r="E363" s="1484" t="s">
        <v>154</v>
      </c>
      <c r="F363" s="1180" t="s">
        <v>83</v>
      </c>
      <c r="G363" s="1181">
        <f>G359/C35</f>
        <v>22824.582358326985</v>
      </c>
    </row>
    <row r="364" spans="2:7" ht="15" customHeight="1">
      <c r="E364" s="1485"/>
      <c r="F364" s="1182" t="s">
        <v>84</v>
      </c>
      <c r="G364" s="1183">
        <f>G359/C16</f>
        <v>20949.837132113578</v>
      </c>
    </row>
    <row r="365" spans="2:7" ht="15" customHeight="1">
      <c r="F365" s="728"/>
      <c r="G365" s="794"/>
    </row>
    <row r="366" spans="2:7" ht="15" customHeight="1">
      <c r="F366" s="728"/>
      <c r="G366" s="794"/>
    </row>
    <row r="367" spans="2:7" ht="15" customHeight="1">
      <c r="C367" s="1218" t="s">
        <v>348</v>
      </c>
      <c r="D367" s="1219"/>
      <c r="E367" s="1219"/>
      <c r="F367" s="1220"/>
      <c r="G367" s="1215">
        <f>G359</f>
        <v>325455719.84738445</v>
      </c>
    </row>
    <row r="368" spans="2:7" ht="15" customHeight="1">
      <c r="C368" s="1221" t="s">
        <v>349</v>
      </c>
      <c r="D368" s="199"/>
      <c r="E368" s="199"/>
      <c r="F368" s="1222"/>
      <c r="G368" s="1082">
        <f>G91</f>
        <v>7767500</v>
      </c>
    </row>
    <row r="369" spans="3:8" ht="15" customHeight="1">
      <c r="C369" s="1221" t="s">
        <v>351</v>
      </c>
      <c r="D369" s="199"/>
      <c r="E369" s="199"/>
      <c r="F369" s="1222"/>
      <c r="G369" s="1082">
        <f>G367+G368</f>
        <v>333223219.84738445</v>
      </c>
    </row>
    <row r="370" spans="3:8" ht="15" customHeight="1">
      <c r="C370" s="1221" t="s">
        <v>352</v>
      </c>
      <c r="D370" s="199"/>
      <c r="E370" s="199"/>
      <c r="F370" s="1222"/>
      <c r="G370" s="1082">
        <v>0</v>
      </c>
      <c r="H370" s="141" t="s">
        <v>353</v>
      </c>
    </row>
    <row r="371" spans="3:8" ht="15" customHeight="1">
      <c r="C371" s="1223" t="s">
        <v>354</v>
      </c>
      <c r="D371" s="1097"/>
      <c r="E371" s="1097"/>
      <c r="F371" s="1224"/>
      <c r="G371" s="1225">
        <f>G369-G370</f>
        <v>333223219.84738445</v>
      </c>
      <c r="H371" s="141" t="s">
        <v>355</v>
      </c>
    </row>
    <row r="372" spans="3:8" ht="15" customHeight="1">
      <c r="C372" s="1226" t="s">
        <v>356</v>
      </c>
      <c r="D372" s="1227">
        <v>0.21</v>
      </c>
      <c r="E372" s="487"/>
      <c r="F372" s="1228"/>
      <c r="G372" s="1147">
        <f>G371*21%</f>
        <v>69976876.167950734</v>
      </c>
      <c r="H372" s="141" t="s">
        <v>355</v>
      </c>
    </row>
    <row r="373" spans="3:8" ht="15" customHeight="1">
      <c r="F373" s="728"/>
      <c r="G373" s="794"/>
    </row>
    <row r="374" spans="3:8" ht="15" customHeight="1">
      <c r="F374" s="728"/>
      <c r="G374" s="794"/>
    </row>
    <row r="375" spans="3:8" ht="15" customHeight="1"/>
    <row r="376" spans="3:8" ht="15" customHeight="1">
      <c r="C376" s="1212" t="s">
        <v>357</v>
      </c>
      <c r="D376" s="1213"/>
      <c r="E376" s="1213"/>
      <c r="F376" s="1214"/>
      <c r="G376" s="1215">
        <f>G359-G372</f>
        <v>255478843.6794337</v>
      </c>
    </row>
    <row r="377" spans="3:8" ht="15" customHeight="1">
      <c r="F377" s="149" t="s">
        <v>346</v>
      </c>
      <c r="G377" s="1229">
        <f>G376/G302</f>
        <v>0.15743298544969273</v>
      </c>
    </row>
    <row r="378" spans="3:8" ht="15" customHeight="1">
      <c r="F378" s="149" t="s">
        <v>347</v>
      </c>
      <c r="G378" s="1230">
        <f>G376/G349</f>
        <v>0.13113354543561107</v>
      </c>
    </row>
    <row r="379" spans="3:8" ht="15" customHeight="1"/>
    <row r="380" spans="3:8" ht="15" customHeight="1">
      <c r="E380" s="1484" t="s">
        <v>154</v>
      </c>
      <c r="F380" s="1180" t="s">
        <v>83</v>
      </c>
      <c r="G380" s="1181">
        <f>G376/C35</f>
        <v>17917.023892238845</v>
      </c>
    </row>
    <row r="381" spans="3:8" ht="15" customHeight="1">
      <c r="D381" s="1171"/>
      <c r="E381" s="1485"/>
      <c r="F381" s="1182" t="s">
        <v>84</v>
      </c>
      <c r="G381" s="1183">
        <f>G376/C16</f>
        <v>16445.371334369727</v>
      </c>
    </row>
    <row r="382" spans="3:8" ht="15" customHeight="1"/>
    <row r="383" spans="3:8" ht="15" customHeight="1">
      <c r="F383" s="582"/>
    </row>
    <row r="384" spans="3:8" ht="15" customHeight="1">
      <c r="E384" s="1056"/>
      <c r="F384" s="1057"/>
      <c r="G384" s="1058"/>
    </row>
    <row r="385" spans="5:7" ht="15" customHeight="1" thickBot="1">
      <c r="E385" s="1056"/>
      <c r="F385" s="1231" t="s">
        <v>394</v>
      </c>
      <c r="G385" s="1057"/>
    </row>
    <row r="386" spans="5:7" ht="15" customHeight="1" thickTop="1">
      <c r="F386" s="1232" t="s">
        <v>395</v>
      </c>
      <c r="G386" s="1233">
        <v>145000000</v>
      </c>
    </row>
    <row r="387" spans="5:7" ht="15" customHeight="1">
      <c r="F387" s="1234" t="s">
        <v>396</v>
      </c>
      <c r="G387" s="1235">
        <f>G63</f>
        <v>440000000</v>
      </c>
    </row>
    <row r="388" spans="5:7" ht="15" customHeight="1">
      <c r="F388" s="1234"/>
      <c r="G388" s="1235"/>
    </row>
    <row r="389" spans="5:7" ht="15" customHeight="1">
      <c r="F389" s="1236" t="s">
        <v>397</v>
      </c>
      <c r="G389" s="1237">
        <f>G387-G386</f>
        <v>295000000</v>
      </c>
    </row>
    <row r="390" spans="5:7" ht="15" customHeight="1">
      <c r="F390" s="1234" t="s">
        <v>398</v>
      </c>
      <c r="G390" s="1238">
        <f>G389*0.21</f>
        <v>61950000</v>
      </c>
    </row>
    <row r="391" spans="5:7" ht="15" customHeight="1">
      <c r="F391" s="1239"/>
      <c r="G391" s="1240"/>
    </row>
    <row r="392" spans="5:7" ht="15" customHeight="1" thickBot="1">
      <c r="F392" s="1241" t="s">
        <v>399</v>
      </c>
      <c r="G392" s="1242">
        <f>G376-G390</f>
        <v>193528843.6794337</v>
      </c>
    </row>
    <row r="393" spans="5:7" ht="15" customHeight="1" thickTop="1"/>
    <row r="394" spans="5:7" ht="15" customHeight="1"/>
    <row r="395" spans="5:7" ht="15" customHeight="1"/>
    <row r="396" spans="5:7" ht="15" customHeight="1"/>
    <row r="397" spans="5:7" ht="15" customHeight="1"/>
    <row r="398" spans="5:7" ht="15" customHeight="1"/>
    <row r="399" spans="5:7" ht="15" customHeight="1"/>
    <row r="400" spans="5:7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</sheetData>
  <mergeCells count="36">
    <mergeCell ref="G1:G2"/>
    <mergeCell ref="E380:E381"/>
    <mergeCell ref="D273:D276"/>
    <mergeCell ref="E304:E305"/>
    <mergeCell ref="B308:G309"/>
    <mergeCell ref="I310:L310"/>
    <mergeCell ref="B333:G333"/>
    <mergeCell ref="B342:G342"/>
    <mergeCell ref="E349:F350"/>
    <mergeCell ref="G349:G350"/>
    <mergeCell ref="E352:E353"/>
    <mergeCell ref="B356:G357"/>
    <mergeCell ref="E363:E364"/>
    <mergeCell ref="I270:L270"/>
    <mergeCell ref="B4:G4"/>
    <mergeCell ref="B5:G7"/>
    <mergeCell ref="B9:G10"/>
    <mergeCell ref="F25:F28"/>
    <mergeCell ref="G25:G28"/>
    <mergeCell ref="C37:D37"/>
    <mergeCell ref="E37:F37"/>
    <mergeCell ref="I57:N58"/>
    <mergeCell ref="B58:G59"/>
    <mergeCell ref="H217:H220"/>
    <mergeCell ref="I269:L269"/>
    <mergeCell ref="M269:N269"/>
    <mergeCell ref="I19:L20"/>
    <mergeCell ref="I22:J22"/>
    <mergeCell ref="I24:J24"/>
    <mergeCell ref="I42:J44"/>
    <mergeCell ref="M42:M44"/>
    <mergeCell ref="I27:J27"/>
    <mergeCell ref="I29:J31"/>
    <mergeCell ref="M29:M31"/>
    <mergeCell ref="I33:J40"/>
    <mergeCell ref="M33:M40"/>
  </mergeCells>
  <printOptions horizontalCentered="1" verticalCentered="1"/>
  <pageMargins left="0.25" right="0.25" top="0.75" bottom="0.75" header="0.3" footer="0.3"/>
  <pageSetup paperSize="8" scale="59" fitToHeight="0" orientation="portrait" copies="2"/>
  <headerFooter alignWithMargins="0"/>
  <rowBreaks count="1" manualBreakCount="1">
    <brk id="194" min="1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D5FAC-6911-43EA-B568-E6A0B0AAB21D}">
  <sheetPr>
    <pageSetUpPr fitToPage="1"/>
  </sheetPr>
  <dimension ref="B1:Y1000"/>
  <sheetViews>
    <sheetView zoomScale="90" zoomScaleNormal="90" workbookViewId="0">
      <selection activeCell="G1" sqref="G1:G2"/>
    </sheetView>
  </sheetViews>
  <sheetFormatPr baseColWidth="10" defaultColWidth="8.6640625" defaultRowHeight="13"/>
  <cols>
    <col min="1" max="1" width="5.6640625" style="141" customWidth="1"/>
    <col min="2" max="2" width="95.6640625" style="141" customWidth="1"/>
    <col min="3" max="3" width="35.6640625" style="141" customWidth="1"/>
    <col min="4" max="4" width="15.6640625" style="141" customWidth="1"/>
    <col min="5" max="5" width="20.6640625" style="141" customWidth="1"/>
    <col min="6" max="6" width="25.6640625" style="141" customWidth="1"/>
    <col min="7" max="7" width="35.6640625" style="141" customWidth="1"/>
    <col min="8" max="12" width="18.6640625" style="141" customWidth="1"/>
    <col min="13" max="13" width="18.6640625" style="143" customWidth="1"/>
    <col min="14" max="18" width="18.6640625" style="141" customWidth="1"/>
    <col min="19" max="25" width="17.6640625" style="141" customWidth="1"/>
    <col min="26" max="256" width="8.6640625" style="141"/>
    <col min="257" max="257" width="5" style="141" customWidth="1"/>
    <col min="258" max="258" width="95.83203125" style="141" customWidth="1"/>
    <col min="259" max="259" width="49.6640625" style="141" customWidth="1"/>
    <col min="260" max="260" width="16.5" style="141" customWidth="1"/>
    <col min="261" max="261" width="19.33203125" style="141" customWidth="1"/>
    <col min="262" max="262" width="25.6640625" style="141" customWidth="1"/>
    <col min="263" max="263" width="32.6640625" style="141" customWidth="1"/>
    <col min="264" max="264" width="22.5" style="141" customWidth="1"/>
    <col min="265" max="267" width="18.1640625" style="141" customWidth="1"/>
    <col min="268" max="268" width="17.5" style="141" customWidth="1"/>
    <col min="269" max="269" width="18" style="141" customWidth="1"/>
    <col min="270" max="281" width="17.6640625" style="141" customWidth="1"/>
    <col min="282" max="512" width="8.6640625" style="141"/>
    <col min="513" max="513" width="5" style="141" customWidth="1"/>
    <col min="514" max="514" width="95.83203125" style="141" customWidth="1"/>
    <col min="515" max="515" width="49.6640625" style="141" customWidth="1"/>
    <col min="516" max="516" width="16.5" style="141" customWidth="1"/>
    <col min="517" max="517" width="19.33203125" style="141" customWidth="1"/>
    <col min="518" max="518" width="25.6640625" style="141" customWidth="1"/>
    <col min="519" max="519" width="32.6640625" style="141" customWidth="1"/>
    <col min="520" max="520" width="22.5" style="141" customWidth="1"/>
    <col min="521" max="523" width="18.1640625" style="141" customWidth="1"/>
    <col min="524" max="524" width="17.5" style="141" customWidth="1"/>
    <col min="525" max="525" width="18" style="141" customWidth="1"/>
    <col min="526" max="537" width="17.6640625" style="141" customWidth="1"/>
    <col min="538" max="768" width="8.6640625" style="141"/>
    <col min="769" max="769" width="5" style="141" customWidth="1"/>
    <col min="770" max="770" width="95.83203125" style="141" customWidth="1"/>
    <col min="771" max="771" width="49.6640625" style="141" customWidth="1"/>
    <col min="772" max="772" width="16.5" style="141" customWidth="1"/>
    <col min="773" max="773" width="19.33203125" style="141" customWidth="1"/>
    <col min="774" max="774" width="25.6640625" style="141" customWidth="1"/>
    <col min="775" max="775" width="32.6640625" style="141" customWidth="1"/>
    <col min="776" max="776" width="22.5" style="141" customWidth="1"/>
    <col min="777" max="779" width="18.1640625" style="141" customWidth="1"/>
    <col min="780" max="780" width="17.5" style="141" customWidth="1"/>
    <col min="781" max="781" width="18" style="141" customWidth="1"/>
    <col min="782" max="793" width="17.6640625" style="141" customWidth="1"/>
    <col min="794" max="1024" width="8.6640625" style="141"/>
    <col min="1025" max="1025" width="5" style="141" customWidth="1"/>
    <col min="1026" max="1026" width="95.83203125" style="141" customWidth="1"/>
    <col min="1027" max="1027" width="49.6640625" style="141" customWidth="1"/>
    <col min="1028" max="1028" width="16.5" style="141" customWidth="1"/>
    <col min="1029" max="1029" width="19.33203125" style="141" customWidth="1"/>
    <col min="1030" max="1030" width="25.6640625" style="141" customWidth="1"/>
    <col min="1031" max="1031" width="32.6640625" style="141" customWidth="1"/>
    <col min="1032" max="1032" width="22.5" style="141" customWidth="1"/>
    <col min="1033" max="1035" width="18.1640625" style="141" customWidth="1"/>
    <col min="1036" max="1036" width="17.5" style="141" customWidth="1"/>
    <col min="1037" max="1037" width="18" style="141" customWidth="1"/>
    <col min="1038" max="1049" width="17.6640625" style="141" customWidth="1"/>
    <col min="1050" max="1280" width="8.6640625" style="141"/>
    <col min="1281" max="1281" width="5" style="141" customWidth="1"/>
    <col min="1282" max="1282" width="95.83203125" style="141" customWidth="1"/>
    <col min="1283" max="1283" width="49.6640625" style="141" customWidth="1"/>
    <col min="1284" max="1284" width="16.5" style="141" customWidth="1"/>
    <col min="1285" max="1285" width="19.33203125" style="141" customWidth="1"/>
    <col min="1286" max="1286" width="25.6640625" style="141" customWidth="1"/>
    <col min="1287" max="1287" width="32.6640625" style="141" customWidth="1"/>
    <col min="1288" max="1288" width="22.5" style="141" customWidth="1"/>
    <col min="1289" max="1291" width="18.1640625" style="141" customWidth="1"/>
    <col min="1292" max="1292" width="17.5" style="141" customWidth="1"/>
    <col min="1293" max="1293" width="18" style="141" customWidth="1"/>
    <col min="1294" max="1305" width="17.6640625" style="141" customWidth="1"/>
    <col min="1306" max="1536" width="8.6640625" style="141"/>
    <col min="1537" max="1537" width="5" style="141" customWidth="1"/>
    <col min="1538" max="1538" width="95.83203125" style="141" customWidth="1"/>
    <col min="1539" max="1539" width="49.6640625" style="141" customWidth="1"/>
    <col min="1540" max="1540" width="16.5" style="141" customWidth="1"/>
    <col min="1541" max="1541" width="19.33203125" style="141" customWidth="1"/>
    <col min="1542" max="1542" width="25.6640625" style="141" customWidth="1"/>
    <col min="1543" max="1543" width="32.6640625" style="141" customWidth="1"/>
    <col min="1544" max="1544" width="22.5" style="141" customWidth="1"/>
    <col min="1545" max="1547" width="18.1640625" style="141" customWidth="1"/>
    <col min="1548" max="1548" width="17.5" style="141" customWidth="1"/>
    <col min="1549" max="1549" width="18" style="141" customWidth="1"/>
    <col min="1550" max="1561" width="17.6640625" style="141" customWidth="1"/>
    <col min="1562" max="1792" width="8.6640625" style="141"/>
    <col min="1793" max="1793" width="5" style="141" customWidth="1"/>
    <col min="1794" max="1794" width="95.83203125" style="141" customWidth="1"/>
    <col min="1795" max="1795" width="49.6640625" style="141" customWidth="1"/>
    <col min="1796" max="1796" width="16.5" style="141" customWidth="1"/>
    <col min="1797" max="1797" width="19.33203125" style="141" customWidth="1"/>
    <col min="1798" max="1798" width="25.6640625" style="141" customWidth="1"/>
    <col min="1799" max="1799" width="32.6640625" style="141" customWidth="1"/>
    <col min="1800" max="1800" width="22.5" style="141" customWidth="1"/>
    <col min="1801" max="1803" width="18.1640625" style="141" customWidth="1"/>
    <col min="1804" max="1804" width="17.5" style="141" customWidth="1"/>
    <col min="1805" max="1805" width="18" style="141" customWidth="1"/>
    <col min="1806" max="1817" width="17.6640625" style="141" customWidth="1"/>
    <col min="1818" max="2048" width="8.6640625" style="141"/>
    <col min="2049" max="2049" width="5" style="141" customWidth="1"/>
    <col min="2050" max="2050" width="95.83203125" style="141" customWidth="1"/>
    <col min="2051" max="2051" width="49.6640625" style="141" customWidth="1"/>
    <col min="2052" max="2052" width="16.5" style="141" customWidth="1"/>
    <col min="2053" max="2053" width="19.33203125" style="141" customWidth="1"/>
    <col min="2054" max="2054" width="25.6640625" style="141" customWidth="1"/>
    <col min="2055" max="2055" width="32.6640625" style="141" customWidth="1"/>
    <col min="2056" max="2056" width="22.5" style="141" customWidth="1"/>
    <col min="2057" max="2059" width="18.1640625" style="141" customWidth="1"/>
    <col min="2060" max="2060" width="17.5" style="141" customWidth="1"/>
    <col min="2061" max="2061" width="18" style="141" customWidth="1"/>
    <col min="2062" max="2073" width="17.6640625" style="141" customWidth="1"/>
    <col min="2074" max="2304" width="8.6640625" style="141"/>
    <col min="2305" max="2305" width="5" style="141" customWidth="1"/>
    <col min="2306" max="2306" width="95.83203125" style="141" customWidth="1"/>
    <col min="2307" max="2307" width="49.6640625" style="141" customWidth="1"/>
    <col min="2308" max="2308" width="16.5" style="141" customWidth="1"/>
    <col min="2309" max="2309" width="19.33203125" style="141" customWidth="1"/>
    <col min="2310" max="2310" width="25.6640625" style="141" customWidth="1"/>
    <col min="2311" max="2311" width="32.6640625" style="141" customWidth="1"/>
    <col min="2312" max="2312" width="22.5" style="141" customWidth="1"/>
    <col min="2313" max="2315" width="18.1640625" style="141" customWidth="1"/>
    <col min="2316" max="2316" width="17.5" style="141" customWidth="1"/>
    <col min="2317" max="2317" width="18" style="141" customWidth="1"/>
    <col min="2318" max="2329" width="17.6640625" style="141" customWidth="1"/>
    <col min="2330" max="2560" width="8.6640625" style="141"/>
    <col min="2561" max="2561" width="5" style="141" customWidth="1"/>
    <col min="2562" max="2562" width="95.83203125" style="141" customWidth="1"/>
    <col min="2563" max="2563" width="49.6640625" style="141" customWidth="1"/>
    <col min="2564" max="2564" width="16.5" style="141" customWidth="1"/>
    <col min="2565" max="2565" width="19.33203125" style="141" customWidth="1"/>
    <col min="2566" max="2566" width="25.6640625" style="141" customWidth="1"/>
    <col min="2567" max="2567" width="32.6640625" style="141" customWidth="1"/>
    <col min="2568" max="2568" width="22.5" style="141" customWidth="1"/>
    <col min="2569" max="2571" width="18.1640625" style="141" customWidth="1"/>
    <col min="2572" max="2572" width="17.5" style="141" customWidth="1"/>
    <col min="2573" max="2573" width="18" style="141" customWidth="1"/>
    <col min="2574" max="2585" width="17.6640625" style="141" customWidth="1"/>
    <col min="2586" max="2816" width="8.6640625" style="141"/>
    <col min="2817" max="2817" width="5" style="141" customWidth="1"/>
    <col min="2818" max="2818" width="95.83203125" style="141" customWidth="1"/>
    <col min="2819" max="2819" width="49.6640625" style="141" customWidth="1"/>
    <col min="2820" max="2820" width="16.5" style="141" customWidth="1"/>
    <col min="2821" max="2821" width="19.33203125" style="141" customWidth="1"/>
    <col min="2822" max="2822" width="25.6640625" style="141" customWidth="1"/>
    <col min="2823" max="2823" width="32.6640625" style="141" customWidth="1"/>
    <col min="2824" max="2824" width="22.5" style="141" customWidth="1"/>
    <col min="2825" max="2827" width="18.1640625" style="141" customWidth="1"/>
    <col min="2828" max="2828" width="17.5" style="141" customWidth="1"/>
    <col min="2829" max="2829" width="18" style="141" customWidth="1"/>
    <col min="2830" max="2841" width="17.6640625" style="141" customWidth="1"/>
    <col min="2842" max="3072" width="8.6640625" style="141"/>
    <col min="3073" max="3073" width="5" style="141" customWidth="1"/>
    <col min="3074" max="3074" width="95.83203125" style="141" customWidth="1"/>
    <col min="3075" max="3075" width="49.6640625" style="141" customWidth="1"/>
    <col min="3076" max="3076" width="16.5" style="141" customWidth="1"/>
    <col min="3077" max="3077" width="19.33203125" style="141" customWidth="1"/>
    <col min="3078" max="3078" width="25.6640625" style="141" customWidth="1"/>
    <col min="3079" max="3079" width="32.6640625" style="141" customWidth="1"/>
    <col min="3080" max="3080" width="22.5" style="141" customWidth="1"/>
    <col min="3081" max="3083" width="18.1640625" style="141" customWidth="1"/>
    <col min="3084" max="3084" width="17.5" style="141" customWidth="1"/>
    <col min="3085" max="3085" width="18" style="141" customWidth="1"/>
    <col min="3086" max="3097" width="17.6640625" style="141" customWidth="1"/>
    <col min="3098" max="3328" width="8.6640625" style="141"/>
    <col min="3329" max="3329" width="5" style="141" customWidth="1"/>
    <col min="3330" max="3330" width="95.83203125" style="141" customWidth="1"/>
    <col min="3331" max="3331" width="49.6640625" style="141" customWidth="1"/>
    <col min="3332" max="3332" width="16.5" style="141" customWidth="1"/>
    <col min="3333" max="3333" width="19.33203125" style="141" customWidth="1"/>
    <col min="3334" max="3334" width="25.6640625" style="141" customWidth="1"/>
    <col min="3335" max="3335" width="32.6640625" style="141" customWidth="1"/>
    <col min="3336" max="3336" width="22.5" style="141" customWidth="1"/>
    <col min="3337" max="3339" width="18.1640625" style="141" customWidth="1"/>
    <col min="3340" max="3340" width="17.5" style="141" customWidth="1"/>
    <col min="3341" max="3341" width="18" style="141" customWidth="1"/>
    <col min="3342" max="3353" width="17.6640625" style="141" customWidth="1"/>
    <col min="3354" max="3584" width="8.6640625" style="141"/>
    <col min="3585" max="3585" width="5" style="141" customWidth="1"/>
    <col min="3586" max="3586" width="95.83203125" style="141" customWidth="1"/>
    <col min="3587" max="3587" width="49.6640625" style="141" customWidth="1"/>
    <col min="3588" max="3588" width="16.5" style="141" customWidth="1"/>
    <col min="3589" max="3589" width="19.33203125" style="141" customWidth="1"/>
    <col min="3590" max="3590" width="25.6640625" style="141" customWidth="1"/>
    <col min="3591" max="3591" width="32.6640625" style="141" customWidth="1"/>
    <col min="3592" max="3592" width="22.5" style="141" customWidth="1"/>
    <col min="3593" max="3595" width="18.1640625" style="141" customWidth="1"/>
    <col min="3596" max="3596" width="17.5" style="141" customWidth="1"/>
    <col min="3597" max="3597" width="18" style="141" customWidth="1"/>
    <col min="3598" max="3609" width="17.6640625" style="141" customWidth="1"/>
    <col min="3610" max="3840" width="8.6640625" style="141"/>
    <col min="3841" max="3841" width="5" style="141" customWidth="1"/>
    <col min="3842" max="3842" width="95.83203125" style="141" customWidth="1"/>
    <col min="3843" max="3843" width="49.6640625" style="141" customWidth="1"/>
    <col min="3844" max="3844" width="16.5" style="141" customWidth="1"/>
    <col min="3845" max="3845" width="19.33203125" style="141" customWidth="1"/>
    <col min="3846" max="3846" width="25.6640625" style="141" customWidth="1"/>
    <col min="3847" max="3847" width="32.6640625" style="141" customWidth="1"/>
    <col min="3848" max="3848" width="22.5" style="141" customWidth="1"/>
    <col min="3849" max="3851" width="18.1640625" style="141" customWidth="1"/>
    <col min="3852" max="3852" width="17.5" style="141" customWidth="1"/>
    <col min="3853" max="3853" width="18" style="141" customWidth="1"/>
    <col min="3854" max="3865" width="17.6640625" style="141" customWidth="1"/>
    <col min="3866" max="4096" width="8.6640625" style="141"/>
    <col min="4097" max="4097" width="5" style="141" customWidth="1"/>
    <col min="4098" max="4098" width="95.83203125" style="141" customWidth="1"/>
    <col min="4099" max="4099" width="49.6640625" style="141" customWidth="1"/>
    <col min="4100" max="4100" width="16.5" style="141" customWidth="1"/>
    <col min="4101" max="4101" width="19.33203125" style="141" customWidth="1"/>
    <col min="4102" max="4102" width="25.6640625" style="141" customWidth="1"/>
    <col min="4103" max="4103" width="32.6640625" style="141" customWidth="1"/>
    <col min="4104" max="4104" width="22.5" style="141" customWidth="1"/>
    <col min="4105" max="4107" width="18.1640625" style="141" customWidth="1"/>
    <col min="4108" max="4108" width="17.5" style="141" customWidth="1"/>
    <col min="4109" max="4109" width="18" style="141" customWidth="1"/>
    <col min="4110" max="4121" width="17.6640625" style="141" customWidth="1"/>
    <col min="4122" max="4352" width="8.6640625" style="141"/>
    <col min="4353" max="4353" width="5" style="141" customWidth="1"/>
    <col min="4354" max="4354" width="95.83203125" style="141" customWidth="1"/>
    <col min="4355" max="4355" width="49.6640625" style="141" customWidth="1"/>
    <col min="4356" max="4356" width="16.5" style="141" customWidth="1"/>
    <col min="4357" max="4357" width="19.33203125" style="141" customWidth="1"/>
    <col min="4358" max="4358" width="25.6640625" style="141" customWidth="1"/>
    <col min="4359" max="4359" width="32.6640625" style="141" customWidth="1"/>
    <col min="4360" max="4360" width="22.5" style="141" customWidth="1"/>
    <col min="4361" max="4363" width="18.1640625" style="141" customWidth="1"/>
    <col min="4364" max="4364" width="17.5" style="141" customWidth="1"/>
    <col min="4365" max="4365" width="18" style="141" customWidth="1"/>
    <col min="4366" max="4377" width="17.6640625" style="141" customWidth="1"/>
    <col min="4378" max="4608" width="8.6640625" style="141"/>
    <col min="4609" max="4609" width="5" style="141" customWidth="1"/>
    <col min="4610" max="4610" width="95.83203125" style="141" customWidth="1"/>
    <col min="4611" max="4611" width="49.6640625" style="141" customWidth="1"/>
    <col min="4612" max="4612" width="16.5" style="141" customWidth="1"/>
    <col min="4613" max="4613" width="19.33203125" style="141" customWidth="1"/>
    <col min="4614" max="4614" width="25.6640625" style="141" customWidth="1"/>
    <col min="4615" max="4615" width="32.6640625" style="141" customWidth="1"/>
    <col min="4616" max="4616" width="22.5" style="141" customWidth="1"/>
    <col min="4617" max="4619" width="18.1640625" style="141" customWidth="1"/>
    <col min="4620" max="4620" width="17.5" style="141" customWidth="1"/>
    <col min="4621" max="4621" width="18" style="141" customWidth="1"/>
    <col min="4622" max="4633" width="17.6640625" style="141" customWidth="1"/>
    <col min="4634" max="4864" width="8.6640625" style="141"/>
    <col min="4865" max="4865" width="5" style="141" customWidth="1"/>
    <col min="4866" max="4866" width="95.83203125" style="141" customWidth="1"/>
    <col min="4867" max="4867" width="49.6640625" style="141" customWidth="1"/>
    <col min="4868" max="4868" width="16.5" style="141" customWidth="1"/>
    <col min="4869" max="4869" width="19.33203125" style="141" customWidth="1"/>
    <col min="4870" max="4870" width="25.6640625" style="141" customWidth="1"/>
    <col min="4871" max="4871" width="32.6640625" style="141" customWidth="1"/>
    <col min="4872" max="4872" width="22.5" style="141" customWidth="1"/>
    <col min="4873" max="4875" width="18.1640625" style="141" customWidth="1"/>
    <col min="4876" max="4876" width="17.5" style="141" customWidth="1"/>
    <col min="4877" max="4877" width="18" style="141" customWidth="1"/>
    <col min="4878" max="4889" width="17.6640625" style="141" customWidth="1"/>
    <col min="4890" max="5120" width="8.6640625" style="141"/>
    <col min="5121" max="5121" width="5" style="141" customWidth="1"/>
    <col min="5122" max="5122" width="95.83203125" style="141" customWidth="1"/>
    <col min="5123" max="5123" width="49.6640625" style="141" customWidth="1"/>
    <col min="5124" max="5124" width="16.5" style="141" customWidth="1"/>
    <col min="5125" max="5125" width="19.33203125" style="141" customWidth="1"/>
    <col min="5126" max="5126" width="25.6640625" style="141" customWidth="1"/>
    <col min="5127" max="5127" width="32.6640625" style="141" customWidth="1"/>
    <col min="5128" max="5128" width="22.5" style="141" customWidth="1"/>
    <col min="5129" max="5131" width="18.1640625" style="141" customWidth="1"/>
    <col min="5132" max="5132" width="17.5" style="141" customWidth="1"/>
    <col min="5133" max="5133" width="18" style="141" customWidth="1"/>
    <col min="5134" max="5145" width="17.6640625" style="141" customWidth="1"/>
    <col min="5146" max="5376" width="8.6640625" style="141"/>
    <col min="5377" max="5377" width="5" style="141" customWidth="1"/>
    <col min="5378" max="5378" width="95.83203125" style="141" customWidth="1"/>
    <col min="5379" max="5379" width="49.6640625" style="141" customWidth="1"/>
    <col min="5380" max="5380" width="16.5" style="141" customWidth="1"/>
    <col min="5381" max="5381" width="19.33203125" style="141" customWidth="1"/>
    <col min="5382" max="5382" width="25.6640625" style="141" customWidth="1"/>
    <col min="5383" max="5383" width="32.6640625" style="141" customWidth="1"/>
    <col min="5384" max="5384" width="22.5" style="141" customWidth="1"/>
    <col min="5385" max="5387" width="18.1640625" style="141" customWidth="1"/>
    <col min="5388" max="5388" width="17.5" style="141" customWidth="1"/>
    <col min="5389" max="5389" width="18" style="141" customWidth="1"/>
    <col min="5390" max="5401" width="17.6640625" style="141" customWidth="1"/>
    <col min="5402" max="5632" width="8.6640625" style="141"/>
    <col min="5633" max="5633" width="5" style="141" customWidth="1"/>
    <col min="5634" max="5634" width="95.83203125" style="141" customWidth="1"/>
    <col min="5635" max="5635" width="49.6640625" style="141" customWidth="1"/>
    <col min="5636" max="5636" width="16.5" style="141" customWidth="1"/>
    <col min="5637" max="5637" width="19.33203125" style="141" customWidth="1"/>
    <col min="5638" max="5638" width="25.6640625" style="141" customWidth="1"/>
    <col min="5639" max="5639" width="32.6640625" style="141" customWidth="1"/>
    <col min="5640" max="5640" width="22.5" style="141" customWidth="1"/>
    <col min="5641" max="5643" width="18.1640625" style="141" customWidth="1"/>
    <col min="5644" max="5644" width="17.5" style="141" customWidth="1"/>
    <col min="5645" max="5645" width="18" style="141" customWidth="1"/>
    <col min="5646" max="5657" width="17.6640625" style="141" customWidth="1"/>
    <col min="5658" max="5888" width="8.6640625" style="141"/>
    <col min="5889" max="5889" width="5" style="141" customWidth="1"/>
    <col min="5890" max="5890" width="95.83203125" style="141" customWidth="1"/>
    <col min="5891" max="5891" width="49.6640625" style="141" customWidth="1"/>
    <col min="5892" max="5892" width="16.5" style="141" customWidth="1"/>
    <col min="5893" max="5893" width="19.33203125" style="141" customWidth="1"/>
    <col min="5894" max="5894" width="25.6640625" style="141" customWidth="1"/>
    <col min="5895" max="5895" width="32.6640625" style="141" customWidth="1"/>
    <col min="5896" max="5896" width="22.5" style="141" customWidth="1"/>
    <col min="5897" max="5899" width="18.1640625" style="141" customWidth="1"/>
    <col min="5900" max="5900" width="17.5" style="141" customWidth="1"/>
    <col min="5901" max="5901" width="18" style="141" customWidth="1"/>
    <col min="5902" max="5913" width="17.6640625" style="141" customWidth="1"/>
    <col min="5914" max="6144" width="8.6640625" style="141"/>
    <col min="6145" max="6145" width="5" style="141" customWidth="1"/>
    <col min="6146" max="6146" width="95.83203125" style="141" customWidth="1"/>
    <col min="6147" max="6147" width="49.6640625" style="141" customWidth="1"/>
    <col min="6148" max="6148" width="16.5" style="141" customWidth="1"/>
    <col min="6149" max="6149" width="19.33203125" style="141" customWidth="1"/>
    <col min="6150" max="6150" width="25.6640625" style="141" customWidth="1"/>
    <col min="6151" max="6151" width="32.6640625" style="141" customWidth="1"/>
    <col min="6152" max="6152" width="22.5" style="141" customWidth="1"/>
    <col min="6153" max="6155" width="18.1640625" style="141" customWidth="1"/>
    <col min="6156" max="6156" width="17.5" style="141" customWidth="1"/>
    <col min="6157" max="6157" width="18" style="141" customWidth="1"/>
    <col min="6158" max="6169" width="17.6640625" style="141" customWidth="1"/>
    <col min="6170" max="6400" width="8.6640625" style="141"/>
    <col min="6401" max="6401" width="5" style="141" customWidth="1"/>
    <col min="6402" max="6402" width="95.83203125" style="141" customWidth="1"/>
    <col min="6403" max="6403" width="49.6640625" style="141" customWidth="1"/>
    <col min="6404" max="6404" width="16.5" style="141" customWidth="1"/>
    <col min="6405" max="6405" width="19.33203125" style="141" customWidth="1"/>
    <col min="6406" max="6406" width="25.6640625" style="141" customWidth="1"/>
    <col min="6407" max="6407" width="32.6640625" style="141" customWidth="1"/>
    <col min="6408" max="6408" width="22.5" style="141" customWidth="1"/>
    <col min="6409" max="6411" width="18.1640625" style="141" customWidth="1"/>
    <col min="6412" max="6412" width="17.5" style="141" customWidth="1"/>
    <col min="6413" max="6413" width="18" style="141" customWidth="1"/>
    <col min="6414" max="6425" width="17.6640625" style="141" customWidth="1"/>
    <col min="6426" max="6656" width="8.6640625" style="141"/>
    <col min="6657" max="6657" width="5" style="141" customWidth="1"/>
    <col min="6658" max="6658" width="95.83203125" style="141" customWidth="1"/>
    <col min="6659" max="6659" width="49.6640625" style="141" customWidth="1"/>
    <col min="6660" max="6660" width="16.5" style="141" customWidth="1"/>
    <col min="6661" max="6661" width="19.33203125" style="141" customWidth="1"/>
    <col min="6662" max="6662" width="25.6640625" style="141" customWidth="1"/>
    <col min="6663" max="6663" width="32.6640625" style="141" customWidth="1"/>
    <col min="6664" max="6664" width="22.5" style="141" customWidth="1"/>
    <col min="6665" max="6667" width="18.1640625" style="141" customWidth="1"/>
    <col min="6668" max="6668" width="17.5" style="141" customWidth="1"/>
    <col min="6669" max="6669" width="18" style="141" customWidth="1"/>
    <col min="6670" max="6681" width="17.6640625" style="141" customWidth="1"/>
    <col min="6682" max="6912" width="8.6640625" style="141"/>
    <col min="6913" max="6913" width="5" style="141" customWidth="1"/>
    <col min="6914" max="6914" width="95.83203125" style="141" customWidth="1"/>
    <col min="6915" max="6915" width="49.6640625" style="141" customWidth="1"/>
    <col min="6916" max="6916" width="16.5" style="141" customWidth="1"/>
    <col min="6917" max="6917" width="19.33203125" style="141" customWidth="1"/>
    <col min="6918" max="6918" width="25.6640625" style="141" customWidth="1"/>
    <col min="6919" max="6919" width="32.6640625" style="141" customWidth="1"/>
    <col min="6920" max="6920" width="22.5" style="141" customWidth="1"/>
    <col min="6921" max="6923" width="18.1640625" style="141" customWidth="1"/>
    <col min="6924" max="6924" width="17.5" style="141" customWidth="1"/>
    <col min="6925" max="6925" width="18" style="141" customWidth="1"/>
    <col min="6926" max="6937" width="17.6640625" style="141" customWidth="1"/>
    <col min="6938" max="7168" width="8.6640625" style="141"/>
    <col min="7169" max="7169" width="5" style="141" customWidth="1"/>
    <col min="7170" max="7170" width="95.83203125" style="141" customWidth="1"/>
    <col min="7171" max="7171" width="49.6640625" style="141" customWidth="1"/>
    <col min="7172" max="7172" width="16.5" style="141" customWidth="1"/>
    <col min="7173" max="7173" width="19.33203125" style="141" customWidth="1"/>
    <col min="7174" max="7174" width="25.6640625" style="141" customWidth="1"/>
    <col min="7175" max="7175" width="32.6640625" style="141" customWidth="1"/>
    <col min="7176" max="7176" width="22.5" style="141" customWidth="1"/>
    <col min="7177" max="7179" width="18.1640625" style="141" customWidth="1"/>
    <col min="7180" max="7180" width="17.5" style="141" customWidth="1"/>
    <col min="7181" max="7181" width="18" style="141" customWidth="1"/>
    <col min="7182" max="7193" width="17.6640625" style="141" customWidth="1"/>
    <col min="7194" max="7424" width="8.6640625" style="141"/>
    <col min="7425" max="7425" width="5" style="141" customWidth="1"/>
    <col min="7426" max="7426" width="95.83203125" style="141" customWidth="1"/>
    <col min="7427" max="7427" width="49.6640625" style="141" customWidth="1"/>
    <col min="7428" max="7428" width="16.5" style="141" customWidth="1"/>
    <col min="7429" max="7429" width="19.33203125" style="141" customWidth="1"/>
    <col min="7430" max="7430" width="25.6640625" style="141" customWidth="1"/>
    <col min="7431" max="7431" width="32.6640625" style="141" customWidth="1"/>
    <col min="7432" max="7432" width="22.5" style="141" customWidth="1"/>
    <col min="7433" max="7435" width="18.1640625" style="141" customWidth="1"/>
    <col min="7436" max="7436" width="17.5" style="141" customWidth="1"/>
    <col min="7437" max="7437" width="18" style="141" customWidth="1"/>
    <col min="7438" max="7449" width="17.6640625" style="141" customWidth="1"/>
    <col min="7450" max="7680" width="8.6640625" style="141"/>
    <col min="7681" max="7681" width="5" style="141" customWidth="1"/>
    <col min="7682" max="7682" width="95.83203125" style="141" customWidth="1"/>
    <col min="7683" max="7683" width="49.6640625" style="141" customWidth="1"/>
    <col min="7684" max="7684" width="16.5" style="141" customWidth="1"/>
    <col min="7685" max="7685" width="19.33203125" style="141" customWidth="1"/>
    <col min="7686" max="7686" width="25.6640625" style="141" customWidth="1"/>
    <col min="7687" max="7687" width="32.6640625" style="141" customWidth="1"/>
    <col min="7688" max="7688" width="22.5" style="141" customWidth="1"/>
    <col min="7689" max="7691" width="18.1640625" style="141" customWidth="1"/>
    <col min="7692" max="7692" width="17.5" style="141" customWidth="1"/>
    <col min="7693" max="7693" width="18" style="141" customWidth="1"/>
    <col min="7694" max="7705" width="17.6640625" style="141" customWidth="1"/>
    <col min="7706" max="7936" width="8.6640625" style="141"/>
    <col min="7937" max="7937" width="5" style="141" customWidth="1"/>
    <col min="7938" max="7938" width="95.83203125" style="141" customWidth="1"/>
    <col min="7939" max="7939" width="49.6640625" style="141" customWidth="1"/>
    <col min="7940" max="7940" width="16.5" style="141" customWidth="1"/>
    <col min="7941" max="7941" width="19.33203125" style="141" customWidth="1"/>
    <col min="7942" max="7942" width="25.6640625" style="141" customWidth="1"/>
    <col min="7943" max="7943" width="32.6640625" style="141" customWidth="1"/>
    <col min="7944" max="7944" width="22.5" style="141" customWidth="1"/>
    <col min="7945" max="7947" width="18.1640625" style="141" customWidth="1"/>
    <col min="7948" max="7948" width="17.5" style="141" customWidth="1"/>
    <col min="7949" max="7949" width="18" style="141" customWidth="1"/>
    <col min="7950" max="7961" width="17.6640625" style="141" customWidth="1"/>
    <col min="7962" max="8192" width="8.6640625" style="141"/>
    <col min="8193" max="8193" width="5" style="141" customWidth="1"/>
    <col min="8194" max="8194" width="95.83203125" style="141" customWidth="1"/>
    <col min="8195" max="8195" width="49.6640625" style="141" customWidth="1"/>
    <col min="8196" max="8196" width="16.5" style="141" customWidth="1"/>
    <col min="8197" max="8197" width="19.33203125" style="141" customWidth="1"/>
    <col min="8198" max="8198" width="25.6640625" style="141" customWidth="1"/>
    <col min="8199" max="8199" width="32.6640625" style="141" customWidth="1"/>
    <col min="8200" max="8200" width="22.5" style="141" customWidth="1"/>
    <col min="8201" max="8203" width="18.1640625" style="141" customWidth="1"/>
    <col min="8204" max="8204" width="17.5" style="141" customWidth="1"/>
    <col min="8205" max="8205" width="18" style="141" customWidth="1"/>
    <col min="8206" max="8217" width="17.6640625" style="141" customWidth="1"/>
    <col min="8218" max="8448" width="8.6640625" style="141"/>
    <col min="8449" max="8449" width="5" style="141" customWidth="1"/>
    <col min="8450" max="8450" width="95.83203125" style="141" customWidth="1"/>
    <col min="8451" max="8451" width="49.6640625" style="141" customWidth="1"/>
    <col min="8452" max="8452" width="16.5" style="141" customWidth="1"/>
    <col min="8453" max="8453" width="19.33203125" style="141" customWidth="1"/>
    <col min="8454" max="8454" width="25.6640625" style="141" customWidth="1"/>
    <col min="8455" max="8455" width="32.6640625" style="141" customWidth="1"/>
    <col min="8456" max="8456" width="22.5" style="141" customWidth="1"/>
    <col min="8457" max="8459" width="18.1640625" style="141" customWidth="1"/>
    <col min="8460" max="8460" width="17.5" style="141" customWidth="1"/>
    <col min="8461" max="8461" width="18" style="141" customWidth="1"/>
    <col min="8462" max="8473" width="17.6640625" style="141" customWidth="1"/>
    <col min="8474" max="8704" width="8.6640625" style="141"/>
    <col min="8705" max="8705" width="5" style="141" customWidth="1"/>
    <col min="8706" max="8706" width="95.83203125" style="141" customWidth="1"/>
    <col min="8707" max="8707" width="49.6640625" style="141" customWidth="1"/>
    <col min="8708" max="8708" width="16.5" style="141" customWidth="1"/>
    <col min="8709" max="8709" width="19.33203125" style="141" customWidth="1"/>
    <col min="8710" max="8710" width="25.6640625" style="141" customWidth="1"/>
    <col min="8711" max="8711" width="32.6640625" style="141" customWidth="1"/>
    <col min="8712" max="8712" width="22.5" style="141" customWidth="1"/>
    <col min="8713" max="8715" width="18.1640625" style="141" customWidth="1"/>
    <col min="8716" max="8716" width="17.5" style="141" customWidth="1"/>
    <col min="8717" max="8717" width="18" style="141" customWidth="1"/>
    <col min="8718" max="8729" width="17.6640625" style="141" customWidth="1"/>
    <col min="8730" max="8960" width="8.6640625" style="141"/>
    <col min="8961" max="8961" width="5" style="141" customWidth="1"/>
    <col min="8962" max="8962" width="95.83203125" style="141" customWidth="1"/>
    <col min="8963" max="8963" width="49.6640625" style="141" customWidth="1"/>
    <col min="8964" max="8964" width="16.5" style="141" customWidth="1"/>
    <col min="8965" max="8965" width="19.33203125" style="141" customWidth="1"/>
    <col min="8966" max="8966" width="25.6640625" style="141" customWidth="1"/>
    <col min="8967" max="8967" width="32.6640625" style="141" customWidth="1"/>
    <col min="8968" max="8968" width="22.5" style="141" customWidth="1"/>
    <col min="8969" max="8971" width="18.1640625" style="141" customWidth="1"/>
    <col min="8972" max="8972" width="17.5" style="141" customWidth="1"/>
    <col min="8973" max="8973" width="18" style="141" customWidth="1"/>
    <col min="8974" max="8985" width="17.6640625" style="141" customWidth="1"/>
    <col min="8986" max="9216" width="8.6640625" style="141"/>
    <col min="9217" max="9217" width="5" style="141" customWidth="1"/>
    <col min="9218" max="9218" width="95.83203125" style="141" customWidth="1"/>
    <col min="9219" max="9219" width="49.6640625" style="141" customWidth="1"/>
    <col min="9220" max="9220" width="16.5" style="141" customWidth="1"/>
    <col min="9221" max="9221" width="19.33203125" style="141" customWidth="1"/>
    <col min="9222" max="9222" width="25.6640625" style="141" customWidth="1"/>
    <col min="9223" max="9223" width="32.6640625" style="141" customWidth="1"/>
    <col min="9224" max="9224" width="22.5" style="141" customWidth="1"/>
    <col min="9225" max="9227" width="18.1640625" style="141" customWidth="1"/>
    <col min="9228" max="9228" width="17.5" style="141" customWidth="1"/>
    <col min="9229" max="9229" width="18" style="141" customWidth="1"/>
    <col min="9230" max="9241" width="17.6640625" style="141" customWidth="1"/>
    <col min="9242" max="9472" width="8.6640625" style="141"/>
    <col min="9473" max="9473" width="5" style="141" customWidth="1"/>
    <col min="9474" max="9474" width="95.83203125" style="141" customWidth="1"/>
    <col min="9475" max="9475" width="49.6640625" style="141" customWidth="1"/>
    <col min="9476" max="9476" width="16.5" style="141" customWidth="1"/>
    <col min="9477" max="9477" width="19.33203125" style="141" customWidth="1"/>
    <col min="9478" max="9478" width="25.6640625" style="141" customWidth="1"/>
    <col min="9479" max="9479" width="32.6640625" style="141" customWidth="1"/>
    <col min="9480" max="9480" width="22.5" style="141" customWidth="1"/>
    <col min="9481" max="9483" width="18.1640625" style="141" customWidth="1"/>
    <col min="9484" max="9484" width="17.5" style="141" customWidth="1"/>
    <col min="9485" max="9485" width="18" style="141" customWidth="1"/>
    <col min="9486" max="9497" width="17.6640625" style="141" customWidth="1"/>
    <col min="9498" max="9728" width="8.6640625" style="141"/>
    <col min="9729" max="9729" width="5" style="141" customWidth="1"/>
    <col min="9730" max="9730" width="95.83203125" style="141" customWidth="1"/>
    <col min="9731" max="9731" width="49.6640625" style="141" customWidth="1"/>
    <col min="9732" max="9732" width="16.5" style="141" customWidth="1"/>
    <col min="9733" max="9733" width="19.33203125" style="141" customWidth="1"/>
    <col min="9734" max="9734" width="25.6640625" style="141" customWidth="1"/>
    <col min="9735" max="9735" width="32.6640625" style="141" customWidth="1"/>
    <col min="9736" max="9736" width="22.5" style="141" customWidth="1"/>
    <col min="9737" max="9739" width="18.1640625" style="141" customWidth="1"/>
    <col min="9740" max="9740" width="17.5" style="141" customWidth="1"/>
    <col min="9741" max="9741" width="18" style="141" customWidth="1"/>
    <col min="9742" max="9753" width="17.6640625" style="141" customWidth="1"/>
    <col min="9754" max="9984" width="8.6640625" style="141"/>
    <col min="9985" max="9985" width="5" style="141" customWidth="1"/>
    <col min="9986" max="9986" width="95.83203125" style="141" customWidth="1"/>
    <col min="9987" max="9987" width="49.6640625" style="141" customWidth="1"/>
    <col min="9988" max="9988" width="16.5" style="141" customWidth="1"/>
    <col min="9989" max="9989" width="19.33203125" style="141" customWidth="1"/>
    <col min="9990" max="9990" width="25.6640625" style="141" customWidth="1"/>
    <col min="9991" max="9991" width="32.6640625" style="141" customWidth="1"/>
    <col min="9992" max="9992" width="22.5" style="141" customWidth="1"/>
    <col min="9993" max="9995" width="18.1640625" style="141" customWidth="1"/>
    <col min="9996" max="9996" width="17.5" style="141" customWidth="1"/>
    <col min="9997" max="9997" width="18" style="141" customWidth="1"/>
    <col min="9998" max="10009" width="17.6640625" style="141" customWidth="1"/>
    <col min="10010" max="10240" width="8.6640625" style="141"/>
    <col min="10241" max="10241" width="5" style="141" customWidth="1"/>
    <col min="10242" max="10242" width="95.83203125" style="141" customWidth="1"/>
    <col min="10243" max="10243" width="49.6640625" style="141" customWidth="1"/>
    <col min="10244" max="10244" width="16.5" style="141" customWidth="1"/>
    <col min="10245" max="10245" width="19.33203125" style="141" customWidth="1"/>
    <col min="10246" max="10246" width="25.6640625" style="141" customWidth="1"/>
    <col min="10247" max="10247" width="32.6640625" style="141" customWidth="1"/>
    <col min="10248" max="10248" width="22.5" style="141" customWidth="1"/>
    <col min="10249" max="10251" width="18.1640625" style="141" customWidth="1"/>
    <col min="10252" max="10252" width="17.5" style="141" customWidth="1"/>
    <col min="10253" max="10253" width="18" style="141" customWidth="1"/>
    <col min="10254" max="10265" width="17.6640625" style="141" customWidth="1"/>
    <col min="10266" max="10496" width="8.6640625" style="141"/>
    <col min="10497" max="10497" width="5" style="141" customWidth="1"/>
    <col min="10498" max="10498" width="95.83203125" style="141" customWidth="1"/>
    <col min="10499" max="10499" width="49.6640625" style="141" customWidth="1"/>
    <col min="10500" max="10500" width="16.5" style="141" customWidth="1"/>
    <col min="10501" max="10501" width="19.33203125" style="141" customWidth="1"/>
    <col min="10502" max="10502" width="25.6640625" style="141" customWidth="1"/>
    <col min="10503" max="10503" width="32.6640625" style="141" customWidth="1"/>
    <col min="10504" max="10504" width="22.5" style="141" customWidth="1"/>
    <col min="10505" max="10507" width="18.1640625" style="141" customWidth="1"/>
    <col min="10508" max="10508" width="17.5" style="141" customWidth="1"/>
    <col min="10509" max="10509" width="18" style="141" customWidth="1"/>
    <col min="10510" max="10521" width="17.6640625" style="141" customWidth="1"/>
    <col min="10522" max="10752" width="8.6640625" style="141"/>
    <col min="10753" max="10753" width="5" style="141" customWidth="1"/>
    <col min="10754" max="10754" width="95.83203125" style="141" customWidth="1"/>
    <col min="10755" max="10755" width="49.6640625" style="141" customWidth="1"/>
    <col min="10756" max="10756" width="16.5" style="141" customWidth="1"/>
    <col min="10757" max="10757" width="19.33203125" style="141" customWidth="1"/>
    <col min="10758" max="10758" width="25.6640625" style="141" customWidth="1"/>
    <col min="10759" max="10759" width="32.6640625" style="141" customWidth="1"/>
    <col min="10760" max="10760" width="22.5" style="141" customWidth="1"/>
    <col min="10761" max="10763" width="18.1640625" style="141" customWidth="1"/>
    <col min="10764" max="10764" width="17.5" style="141" customWidth="1"/>
    <col min="10765" max="10765" width="18" style="141" customWidth="1"/>
    <col min="10766" max="10777" width="17.6640625" style="141" customWidth="1"/>
    <col min="10778" max="11008" width="8.6640625" style="141"/>
    <col min="11009" max="11009" width="5" style="141" customWidth="1"/>
    <col min="11010" max="11010" width="95.83203125" style="141" customWidth="1"/>
    <col min="11011" max="11011" width="49.6640625" style="141" customWidth="1"/>
    <col min="11012" max="11012" width="16.5" style="141" customWidth="1"/>
    <col min="11013" max="11013" width="19.33203125" style="141" customWidth="1"/>
    <col min="11014" max="11014" width="25.6640625" style="141" customWidth="1"/>
    <col min="11015" max="11015" width="32.6640625" style="141" customWidth="1"/>
    <col min="11016" max="11016" width="22.5" style="141" customWidth="1"/>
    <col min="11017" max="11019" width="18.1640625" style="141" customWidth="1"/>
    <col min="11020" max="11020" width="17.5" style="141" customWidth="1"/>
    <col min="11021" max="11021" width="18" style="141" customWidth="1"/>
    <col min="11022" max="11033" width="17.6640625" style="141" customWidth="1"/>
    <col min="11034" max="11264" width="8.6640625" style="141"/>
    <col min="11265" max="11265" width="5" style="141" customWidth="1"/>
    <col min="11266" max="11266" width="95.83203125" style="141" customWidth="1"/>
    <col min="11267" max="11267" width="49.6640625" style="141" customWidth="1"/>
    <col min="11268" max="11268" width="16.5" style="141" customWidth="1"/>
    <col min="11269" max="11269" width="19.33203125" style="141" customWidth="1"/>
    <col min="11270" max="11270" width="25.6640625" style="141" customWidth="1"/>
    <col min="11271" max="11271" width="32.6640625" style="141" customWidth="1"/>
    <col min="11272" max="11272" width="22.5" style="141" customWidth="1"/>
    <col min="11273" max="11275" width="18.1640625" style="141" customWidth="1"/>
    <col min="11276" max="11276" width="17.5" style="141" customWidth="1"/>
    <col min="11277" max="11277" width="18" style="141" customWidth="1"/>
    <col min="11278" max="11289" width="17.6640625" style="141" customWidth="1"/>
    <col min="11290" max="11520" width="8.6640625" style="141"/>
    <col min="11521" max="11521" width="5" style="141" customWidth="1"/>
    <col min="11522" max="11522" width="95.83203125" style="141" customWidth="1"/>
    <col min="11523" max="11523" width="49.6640625" style="141" customWidth="1"/>
    <col min="11524" max="11524" width="16.5" style="141" customWidth="1"/>
    <col min="11525" max="11525" width="19.33203125" style="141" customWidth="1"/>
    <col min="11526" max="11526" width="25.6640625" style="141" customWidth="1"/>
    <col min="11527" max="11527" width="32.6640625" style="141" customWidth="1"/>
    <col min="11528" max="11528" width="22.5" style="141" customWidth="1"/>
    <col min="11529" max="11531" width="18.1640625" style="141" customWidth="1"/>
    <col min="11532" max="11532" width="17.5" style="141" customWidth="1"/>
    <col min="11533" max="11533" width="18" style="141" customWidth="1"/>
    <col min="11534" max="11545" width="17.6640625" style="141" customWidth="1"/>
    <col min="11546" max="11776" width="8.6640625" style="141"/>
    <col min="11777" max="11777" width="5" style="141" customWidth="1"/>
    <col min="11778" max="11778" width="95.83203125" style="141" customWidth="1"/>
    <col min="11779" max="11779" width="49.6640625" style="141" customWidth="1"/>
    <col min="11780" max="11780" width="16.5" style="141" customWidth="1"/>
    <col min="11781" max="11781" width="19.33203125" style="141" customWidth="1"/>
    <col min="11782" max="11782" width="25.6640625" style="141" customWidth="1"/>
    <col min="11783" max="11783" width="32.6640625" style="141" customWidth="1"/>
    <col min="11784" max="11784" width="22.5" style="141" customWidth="1"/>
    <col min="11785" max="11787" width="18.1640625" style="141" customWidth="1"/>
    <col min="11788" max="11788" width="17.5" style="141" customWidth="1"/>
    <col min="11789" max="11789" width="18" style="141" customWidth="1"/>
    <col min="11790" max="11801" width="17.6640625" style="141" customWidth="1"/>
    <col min="11802" max="12032" width="8.6640625" style="141"/>
    <col min="12033" max="12033" width="5" style="141" customWidth="1"/>
    <col min="12034" max="12034" width="95.83203125" style="141" customWidth="1"/>
    <col min="12035" max="12035" width="49.6640625" style="141" customWidth="1"/>
    <col min="12036" max="12036" width="16.5" style="141" customWidth="1"/>
    <col min="12037" max="12037" width="19.33203125" style="141" customWidth="1"/>
    <col min="12038" max="12038" width="25.6640625" style="141" customWidth="1"/>
    <col min="12039" max="12039" width="32.6640625" style="141" customWidth="1"/>
    <col min="12040" max="12040" width="22.5" style="141" customWidth="1"/>
    <col min="12041" max="12043" width="18.1640625" style="141" customWidth="1"/>
    <col min="12044" max="12044" width="17.5" style="141" customWidth="1"/>
    <col min="12045" max="12045" width="18" style="141" customWidth="1"/>
    <col min="12046" max="12057" width="17.6640625" style="141" customWidth="1"/>
    <col min="12058" max="12288" width="8.6640625" style="141"/>
    <col min="12289" max="12289" width="5" style="141" customWidth="1"/>
    <col min="12290" max="12290" width="95.83203125" style="141" customWidth="1"/>
    <col min="12291" max="12291" width="49.6640625" style="141" customWidth="1"/>
    <col min="12292" max="12292" width="16.5" style="141" customWidth="1"/>
    <col min="12293" max="12293" width="19.33203125" style="141" customWidth="1"/>
    <col min="12294" max="12294" width="25.6640625" style="141" customWidth="1"/>
    <col min="12295" max="12295" width="32.6640625" style="141" customWidth="1"/>
    <col min="12296" max="12296" width="22.5" style="141" customWidth="1"/>
    <col min="12297" max="12299" width="18.1640625" style="141" customWidth="1"/>
    <col min="12300" max="12300" width="17.5" style="141" customWidth="1"/>
    <col min="12301" max="12301" width="18" style="141" customWidth="1"/>
    <col min="12302" max="12313" width="17.6640625" style="141" customWidth="1"/>
    <col min="12314" max="12544" width="8.6640625" style="141"/>
    <col min="12545" max="12545" width="5" style="141" customWidth="1"/>
    <col min="12546" max="12546" width="95.83203125" style="141" customWidth="1"/>
    <col min="12547" max="12547" width="49.6640625" style="141" customWidth="1"/>
    <col min="12548" max="12548" width="16.5" style="141" customWidth="1"/>
    <col min="12549" max="12549" width="19.33203125" style="141" customWidth="1"/>
    <col min="12550" max="12550" width="25.6640625" style="141" customWidth="1"/>
    <col min="12551" max="12551" width="32.6640625" style="141" customWidth="1"/>
    <col min="12552" max="12552" width="22.5" style="141" customWidth="1"/>
    <col min="12553" max="12555" width="18.1640625" style="141" customWidth="1"/>
    <col min="12556" max="12556" width="17.5" style="141" customWidth="1"/>
    <col min="12557" max="12557" width="18" style="141" customWidth="1"/>
    <col min="12558" max="12569" width="17.6640625" style="141" customWidth="1"/>
    <col min="12570" max="12800" width="8.6640625" style="141"/>
    <col min="12801" max="12801" width="5" style="141" customWidth="1"/>
    <col min="12802" max="12802" width="95.83203125" style="141" customWidth="1"/>
    <col min="12803" max="12803" width="49.6640625" style="141" customWidth="1"/>
    <col min="12804" max="12804" width="16.5" style="141" customWidth="1"/>
    <col min="12805" max="12805" width="19.33203125" style="141" customWidth="1"/>
    <col min="12806" max="12806" width="25.6640625" style="141" customWidth="1"/>
    <col min="12807" max="12807" width="32.6640625" style="141" customWidth="1"/>
    <col min="12808" max="12808" width="22.5" style="141" customWidth="1"/>
    <col min="12809" max="12811" width="18.1640625" style="141" customWidth="1"/>
    <col min="12812" max="12812" width="17.5" style="141" customWidth="1"/>
    <col min="12813" max="12813" width="18" style="141" customWidth="1"/>
    <col min="12814" max="12825" width="17.6640625" style="141" customWidth="1"/>
    <col min="12826" max="13056" width="8.6640625" style="141"/>
    <col min="13057" max="13057" width="5" style="141" customWidth="1"/>
    <col min="13058" max="13058" width="95.83203125" style="141" customWidth="1"/>
    <col min="13059" max="13059" width="49.6640625" style="141" customWidth="1"/>
    <col min="13060" max="13060" width="16.5" style="141" customWidth="1"/>
    <col min="13061" max="13061" width="19.33203125" style="141" customWidth="1"/>
    <col min="13062" max="13062" width="25.6640625" style="141" customWidth="1"/>
    <col min="13063" max="13063" width="32.6640625" style="141" customWidth="1"/>
    <col min="13064" max="13064" width="22.5" style="141" customWidth="1"/>
    <col min="13065" max="13067" width="18.1640625" style="141" customWidth="1"/>
    <col min="13068" max="13068" width="17.5" style="141" customWidth="1"/>
    <col min="13069" max="13069" width="18" style="141" customWidth="1"/>
    <col min="13070" max="13081" width="17.6640625" style="141" customWidth="1"/>
    <col min="13082" max="13312" width="8.6640625" style="141"/>
    <col min="13313" max="13313" width="5" style="141" customWidth="1"/>
    <col min="13314" max="13314" width="95.83203125" style="141" customWidth="1"/>
    <col min="13315" max="13315" width="49.6640625" style="141" customWidth="1"/>
    <col min="13316" max="13316" width="16.5" style="141" customWidth="1"/>
    <col min="13317" max="13317" width="19.33203125" style="141" customWidth="1"/>
    <col min="13318" max="13318" width="25.6640625" style="141" customWidth="1"/>
    <col min="13319" max="13319" width="32.6640625" style="141" customWidth="1"/>
    <col min="13320" max="13320" width="22.5" style="141" customWidth="1"/>
    <col min="13321" max="13323" width="18.1640625" style="141" customWidth="1"/>
    <col min="13324" max="13324" width="17.5" style="141" customWidth="1"/>
    <col min="13325" max="13325" width="18" style="141" customWidth="1"/>
    <col min="13326" max="13337" width="17.6640625" style="141" customWidth="1"/>
    <col min="13338" max="13568" width="8.6640625" style="141"/>
    <col min="13569" max="13569" width="5" style="141" customWidth="1"/>
    <col min="13570" max="13570" width="95.83203125" style="141" customWidth="1"/>
    <col min="13571" max="13571" width="49.6640625" style="141" customWidth="1"/>
    <col min="13572" max="13572" width="16.5" style="141" customWidth="1"/>
    <col min="13573" max="13573" width="19.33203125" style="141" customWidth="1"/>
    <col min="13574" max="13574" width="25.6640625" style="141" customWidth="1"/>
    <col min="13575" max="13575" width="32.6640625" style="141" customWidth="1"/>
    <col min="13576" max="13576" width="22.5" style="141" customWidth="1"/>
    <col min="13577" max="13579" width="18.1640625" style="141" customWidth="1"/>
    <col min="13580" max="13580" width="17.5" style="141" customWidth="1"/>
    <col min="13581" max="13581" width="18" style="141" customWidth="1"/>
    <col min="13582" max="13593" width="17.6640625" style="141" customWidth="1"/>
    <col min="13594" max="13824" width="8.6640625" style="141"/>
    <col min="13825" max="13825" width="5" style="141" customWidth="1"/>
    <col min="13826" max="13826" width="95.83203125" style="141" customWidth="1"/>
    <col min="13827" max="13827" width="49.6640625" style="141" customWidth="1"/>
    <col min="13828" max="13828" width="16.5" style="141" customWidth="1"/>
    <col min="13829" max="13829" width="19.33203125" style="141" customWidth="1"/>
    <col min="13830" max="13830" width="25.6640625" style="141" customWidth="1"/>
    <col min="13831" max="13831" width="32.6640625" style="141" customWidth="1"/>
    <col min="13832" max="13832" width="22.5" style="141" customWidth="1"/>
    <col min="13833" max="13835" width="18.1640625" style="141" customWidth="1"/>
    <col min="13836" max="13836" width="17.5" style="141" customWidth="1"/>
    <col min="13837" max="13837" width="18" style="141" customWidth="1"/>
    <col min="13838" max="13849" width="17.6640625" style="141" customWidth="1"/>
    <col min="13850" max="14080" width="8.6640625" style="141"/>
    <col min="14081" max="14081" width="5" style="141" customWidth="1"/>
    <col min="14082" max="14082" width="95.83203125" style="141" customWidth="1"/>
    <col min="14083" max="14083" width="49.6640625" style="141" customWidth="1"/>
    <col min="14084" max="14084" width="16.5" style="141" customWidth="1"/>
    <col min="14085" max="14085" width="19.33203125" style="141" customWidth="1"/>
    <col min="14086" max="14086" width="25.6640625" style="141" customWidth="1"/>
    <col min="14087" max="14087" width="32.6640625" style="141" customWidth="1"/>
    <col min="14088" max="14088" width="22.5" style="141" customWidth="1"/>
    <col min="14089" max="14091" width="18.1640625" style="141" customWidth="1"/>
    <col min="14092" max="14092" width="17.5" style="141" customWidth="1"/>
    <col min="14093" max="14093" width="18" style="141" customWidth="1"/>
    <col min="14094" max="14105" width="17.6640625" style="141" customWidth="1"/>
    <col min="14106" max="14336" width="8.6640625" style="141"/>
    <col min="14337" max="14337" width="5" style="141" customWidth="1"/>
    <col min="14338" max="14338" width="95.83203125" style="141" customWidth="1"/>
    <col min="14339" max="14339" width="49.6640625" style="141" customWidth="1"/>
    <col min="14340" max="14340" width="16.5" style="141" customWidth="1"/>
    <col min="14341" max="14341" width="19.33203125" style="141" customWidth="1"/>
    <col min="14342" max="14342" width="25.6640625" style="141" customWidth="1"/>
    <col min="14343" max="14343" width="32.6640625" style="141" customWidth="1"/>
    <col min="14344" max="14344" width="22.5" style="141" customWidth="1"/>
    <col min="14345" max="14347" width="18.1640625" style="141" customWidth="1"/>
    <col min="14348" max="14348" width="17.5" style="141" customWidth="1"/>
    <col min="14349" max="14349" width="18" style="141" customWidth="1"/>
    <col min="14350" max="14361" width="17.6640625" style="141" customWidth="1"/>
    <col min="14362" max="14592" width="8.6640625" style="141"/>
    <col min="14593" max="14593" width="5" style="141" customWidth="1"/>
    <col min="14594" max="14594" width="95.83203125" style="141" customWidth="1"/>
    <col min="14595" max="14595" width="49.6640625" style="141" customWidth="1"/>
    <col min="14596" max="14596" width="16.5" style="141" customWidth="1"/>
    <col min="14597" max="14597" width="19.33203125" style="141" customWidth="1"/>
    <col min="14598" max="14598" width="25.6640625" style="141" customWidth="1"/>
    <col min="14599" max="14599" width="32.6640625" style="141" customWidth="1"/>
    <col min="14600" max="14600" width="22.5" style="141" customWidth="1"/>
    <col min="14601" max="14603" width="18.1640625" style="141" customWidth="1"/>
    <col min="14604" max="14604" width="17.5" style="141" customWidth="1"/>
    <col min="14605" max="14605" width="18" style="141" customWidth="1"/>
    <col min="14606" max="14617" width="17.6640625" style="141" customWidth="1"/>
    <col min="14618" max="14848" width="8.6640625" style="141"/>
    <col min="14849" max="14849" width="5" style="141" customWidth="1"/>
    <col min="14850" max="14850" width="95.83203125" style="141" customWidth="1"/>
    <col min="14851" max="14851" width="49.6640625" style="141" customWidth="1"/>
    <col min="14852" max="14852" width="16.5" style="141" customWidth="1"/>
    <col min="14853" max="14853" width="19.33203125" style="141" customWidth="1"/>
    <col min="14854" max="14854" width="25.6640625" style="141" customWidth="1"/>
    <col min="14855" max="14855" width="32.6640625" style="141" customWidth="1"/>
    <col min="14856" max="14856" width="22.5" style="141" customWidth="1"/>
    <col min="14857" max="14859" width="18.1640625" style="141" customWidth="1"/>
    <col min="14860" max="14860" width="17.5" style="141" customWidth="1"/>
    <col min="14861" max="14861" width="18" style="141" customWidth="1"/>
    <col min="14862" max="14873" width="17.6640625" style="141" customWidth="1"/>
    <col min="14874" max="15104" width="8.6640625" style="141"/>
    <col min="15105" max="15105" width="5" style="141" customWidth="1"/>
    <col min="15106" max="15106" width="95.83203125" style="141" customWidth="1"/>
    <col min="15107" max="15107" width="49.6640625" style="141" customWidth="1"/>
    <col min="15108" max="15108" width="16.5" style="141" customWidth="1"/>
    <col min="15109" max="15109" width="19.33203125" style="141" customWidth="1"/>
    <col min="15110" max="15110" width="25.6640625" style="141" customWidth="1"/>
    <col min="15111" max="15111" width="32.6640625" style="141" customWidth="1"/>
    <col min="15112" max="15112" width="22.5" style="141" customWidth="1"/>
    <col min="15113" max="15115" width="18.1640625" style="141" customWidth="1"/>
    <col min="15116" max="15116" width="17.5" style="141" customWidth="1"/>
    <col min="15117" max="15117" width="18" style="141" customWidth="1"/>
    <col min="15118" max="15129" width="17.6640625" style="141" customWidth="1"/>
    <col min="15130" max="15360" width="8.6640625" style="141"/>
    <col min="15361" max="15361" width="5" style="141" customWidth="1"/>
    <col min="15362" max="15362" width="95.83203125" style="141" customWidth="1"/>
    <col min="15363" max="15363" width="49.6640625" style="141" customWidth="1"/>
    <col min="15364" max="15364" width="16.5" style="141" customWidth="1"/>
    <col min="15365" max="15365" width="19.33203125" style="141" customWidth="1"/>
    <col min="15366" max="15366" width="25.6640625" style="141" customWidth="1"/>
    <col min="15367" max="15367" width="32.6640625" style="141" customWidth="1"/>
    <col min="15368" max="15368" width="22.5" style="141" customWidth="1"/>
    <col min="15369" max="15371" width="18.1640625" style="141" customWidth="1"/>
    <col min="15372" max="15372" width="17.5" style="141" customWidth="1"/>
    <col min="15373" max="15373" width="18" style="141" customWidth="1"/>
    <col min="15374" max="15385" width="17.6640625" style="141" customWidth="1"/>
    <col min="15386" max="15616" width="8.6640625" style="141"/>
    <col min="15617" max="15617" width="5" style="141" customWidth="1"/>
    <col min="15618" max="15618" width="95.83203125" style="141" customWidth="1"/>
    <col min="15619" max="15619" width="49.6640625" style="141" customWidth="1"/>
    <col min="15620" max="15620" width="16.5" style="141" customWidth="1"/>
    <col min="15621" max="15621" width="19.33203125" style="141" customWidth="1"/>
    <col min="15622" max="15622" width="25.6640625" style="141" customWidth="1"/>
    <col min="15623" max="15623" width="32.6640625" style="141" customWidth="1"/>
    <col min="15624" max="15624" width="22.5" style="141" customWidth="1"/>
    <col min="15625" max="15627" width="18.1640625" style="141" customWidth="1"/>
    <col min="15628" max="15628" width="17.5" style="141" customWidth="1"/>
    <col min="15629" max="15629" width="18" style="141" customWidth="1"/>
    <col min="15630" max="15641" width="17.6640625" style="141" customWidth="1"/>
    <col min="15642" max="15872" width="8.6640625" style="141"/>
    <col min="15873" max="15873" width="5" style="141" customWidth="1"/>
    <col min="15874" max="15874" width="95.83203125" style="141" customWidth="1"/>
    <col min="15875" max="15875" width="49.6640625" style="141" customWidth="1"/>
    <col min="15876" max="15876" width="16.5" style="141" customWidth="1"/>
    <col min="15877" max="15877" width="19.33203125" style="141" customWidth="1"/>
    <col min="15878" max="15878" width="25.6640625" style="141" customWidth="1"/>
    <col min="15879" max="15879" width="32.6640625" style="141" customWidth="1"/>
    <col min="15880" max="15880" width="22.5" style="141" customWidth="1"/>
    <col min="15881" max="15883" width="18.1640625" style="141" customWidth="1"/>
    <col min="15884" max="15884" width="17.5" style="141" customWidth="1"/>
    <col min="15885" max="15885" width="18" style="141" customWidth="1"/>
    <col min="15886" max="15897" width="17.6640625" style="141" customWidth="1"/>
    <col min="15898" max="16128" width="8.6640625" style="141"/>
    <col min="16129" max="16129" width="5" style="141" customWidth="1"/>
    <col min="16130" max="16130" width="95.83203125" style="141" customWidth="1"/>
    <col min="16131" max="16131" width="49.6640625" style="141" customWidth="1"/>
    <col min="16132" max="16132" width="16.5" style="141" customWidth="1"/>
    <col min="16133" max="16133" width="19.33203125" style="141" customWidth="1"/>
    <col min="16134" max="16134" width="25.6640625" style="141" customWidth="1"/>
    <col min="16135" max="16135" width="32.6640625" style="141" customWidth="1"/>
    <col min="16136" max="16136" width="22.5" style="141" customWidth="1"/>
    <col min="16137" max="16139" width="18.1640625" style="141" customWidth="1"/>
    <col min="16140" max="16140" width="17.5" style="141" customWidth="1"/>
    <col min="16141" max="16141" width="18" style="141" customWidth="1"/>
    <col min="16142" max="16153" width="17.6640625" style="141" customWidth="1"/>
    <col min="16154" max="16384" width="8.6640625" style="141"/>
  </cols>
  <sheetData>
    <row r="1" spans="2:14" ht="15" customHeight="1">
      <c r="E1" s="142"/>
      <c r="F1" s="141" t="s">
        <v>68</v>
      </c>
      <c r="G1" s="1638" t="e" vm="5">
        <v>#VALUE!</v>
      </c>
    </row>
    <row r="2" spans="2:14" ht="15" customHeight="1">
      <c r="B2" s="144" t="s">
        <v>570</v>
      </c>
      <c r="E2" s="145"/>
      <c r="F2" s="141" t="s">
        <v>69</v>
      </c>
      <c r="G2" s="1638"/>
    </row>
    <row r="3" spans="2:14" ht="15" customHeight="1" thickBot="1"/>
    <row r="4" spans="2:14" ht="30" customHeight="1">
      <c r="B4" s="1436" t="s">
        <v>2</v>
      </c>
      <c r="C4" s="1437"/>
      <c r="D4" s="1437"/>
      <c r="E4" s="1437"/>
      <c r="F4" s="1437"/>
      <c r="G4" s="1438"/>
    </row>
    <row r="5" spans="2:14" ht="15" customHeight="1">
      <c r="B5" s="1439" t="s">
        <v>70</v>
      </c>
      <c r="C5" s="1440"/>
      <c r="D5" s="1440"/>
      <c r="E5" s="1440"/>
      <c r="F5" s="1440"/>
      <c r="G5" s="1441"/>
    </row>
    <row r="6" spans="2:14" ht="15" customHeight="1">
      <c r="B6" s="1442"/>
      <c r="C6" s="1443"/>
      <c r="D6" s="1443"/>
      <c r="E6" s="1443"/>
      <c r="F6" s="1443"/>
      <c r="G6" s="1444"/>
    </row>
    <row r="7" spans="2:14" ht="15" customHeight="1" thickBot="1">
      <c r="B7" s="1445"/>
      <c r="C7" s="1446"/>
      <c r="D7" s="1446"/>
      <c r="E7" s="1446"/>
      <c r="F7" s="1446"/>
      <c r="G7" s="1447"/>
    </row>
    <row r="8" spans="2:14" ht="20" customHeight="1" thickBot="1">
      <c r="B8" s="146"/>
      <c r="C8" s="146"/>
      <c r="D8" s="146"/>
      <c r="E8" s="146"/>
      <c r="F8" s="146"/>
      <c r="G8" s="146"/>
    </row>
    <row r="9" spans="2:14" ht="15" customHeight="1">
      <c r="B9" s="1448" t="s">
        <v>71</v>
      </c>
      <c r="C9" s="1449"/>
      <c r="D9" s="1449"/>
      <c r="E9" s="1449"/>
      <c r="F9" s="1449"/>
      <c r="G9" s="1450"/>
    </row>
    <row r="10" spans="2:14" ht="15" customHeight="1" thickBot="1">
      <c r="B10" s="1451"/>
      <c r="C10" s="1452"/>
      <c r="D10" s="1452"/>
      <c r="E10" s="1452"/>
      <c r="F10" s="1452"/>
      <c r="G10" s="1453"/>
      <c r="M10" s="148"/>
      <c r="N10" s="149"/>
    </row>
    <row r="11" spans="2:14" ht="20" customHeight="1" thickBot="1">
      <c r="B11" s="150"/>
      <c r="C11" s="151"/>
      <c r="D11" s="151"/>
      <c r="E11" s="151"/>
      <c r="F11" s="151"/>
      <c r="G11" s="151"/>
      <c r="I11" s="152"/>
      <c r="J11" s="152"/>
      <c r="K11" s="152"/>
      <c r="L11" s="152"/>
      <c r="M11" s="153"/>
      <c r="N11" s="154"/>
    </row>
    <row r="12" spans="2:14" ht="15" customHeight="1" thickBot="1">
      <c r="B12" s="155" t="s">
        <v>72</v>
      </c>
      <c r="C12" s="156"/>
      <c r="D12" s="157" t="s">
        <v>73</v>
      </c>
      <c r="E12" s="158"/>
      <c r="F12" s="159"/>
      <c r="G12" s="160"/>
      <c r="I12" s="152"/>
      <c r="J12" s="152"/>
      <c r="K12" s="152"/>
      <c r="L12" s="152"/>
      <c r="M12" s="153"/>
      <c r="N12" s="154"/>
    </row>
    <row r="13" spans="2:14" ht="15" customHeight="1" thickBot="1">
      <c r="B13" s="161"/>
      <c r="C13" s="162"/>
      <c r="D13" s="162"/>
      <c r="E13" s="163"/>
      <c r="F13" s="164"/>
      <c r="G13" s="164"/>
      <c r="H13" s="141" t="s">
        <v>3</v>
      </c>
      <c r="I13" s="152" t="s">
        <v>3</v>
      </c>
      <c r="J13" s="152"/>
      <c r="K13" s="152"/>
      <c r="L13" s="152"/>
      <c r="M13" s="153"/>
      <c r="N13" s="154"/>
    </row>
    <row r="14" spans="2:14" ht="15" customHeight="1">
      <c r="B14" s="165" t="s">
        <v>74</v>
      </c>
      <c r="C14" s="166">
        <f>C16</f>
        <v>15535</v>
      </c>
      <c r="D14" s="167" t="s">
        <v>73</v>
      </c>
      <c r="E14" s="168"/>
      <c r="F14" s="169"/>
      <c r="G14" s="170"/>
      <c r="M14" s="153"/>
      <c r="N14" s="154"/>
    </row>
    <row r="15" spans="2:14" ht="15" customHeight="1">
      <c r="B15" s="171" t="s">
        <v>75</v>
      </c>
      <c r="C15" s="172"/>
      <c r="D15" s="173"/>
      <c r="E15" s="174"/>
      <c r="F15" s="175"/>
      <c r="G15" s="176"/>
      <c r="M15" s="153"/>
      <c r="N15" s="154"/>
    </row>
    <row r="16" spans="2:14" ht="15" customHeight="1">
      <c r="B16" s="177" t="s">
        <v>76</v>
      </c>
      <c r="C16" s="178">
        <v>15535</v>
      </c>
      <c r="D16" s="179" t="s">
        <v>73</v>
      </c>
      <c r="E16" s="180"/>
      <c r="F16" s="181"/>
      <c r="G16" s="182"/>
      <c r="M16" s="153"/>
      <c r="N16" s="154"/>
    </row>
    <row r="17" spans="2:14" ht="15" customHeight="1" thickBot="1">
      <c r="B17" s="183" t="s">
        <v>77</v>
      </c>
      <c r="C17" s="184">
        <f>3543/2*3</f>
        <v>5314.5</v>
      </c>
      <c r="D17" s="185" t="s">
        <v>73</v>
      </c>
      <c r="E17" s="186" t="s">
        <v>78</v>
      </c>
      <c r="F17" s="187"/>
      <c r="G17" s="188"/>
      <c r="M17" s="153"/>
      <c r="N17" s="154"/>
    </row>
    <row r="18" spans="2:14" ht="15" customHeight="1" thickBot="1">
      <c r="B18" s="189"/>
      <c r="C18" s="151"/>
      <c r="D18" s="151"/>
      <c r="E18" s="190"/>
      <c r="M18" s="153"/>
      <c r="N18" s="154"/>
    </row>
    <row r="19" spans="2:14" ht="15" customHeight="1">
      <c r="B19" s="191" t="s">
        <v>79</v>
      </c>
      <c r="C19" s="192">
        <f>C21+C22</f>
        <v>81331.249988424999</v>
      </c>
      <c r="D19" s="193"/>
      <c r="E19" s="194"/>
      <c r="F19" s="195"/>
      <c r="G19" s="196" t="s">
        <v>80</v>
      </c>
      <c r="I19" s="1561" t="s">
        <v>530</v>
      </c>
      <c r="J19" s="1562"/>
      <c r="K19" s="1562"/>
      <c r="L19" s="1562"/>
      <c r="M19" s="1562"/>
      <c r="N19" s="154"/>
    </row>
    <row r="20" spans="2:14" ht="15" customHeight="1">
      <c r="B20" s="171" t="s">
        <v>75</v>
      </c>
      <c r="C20" s="197"/>
      <c r="D20" s="197"/>
      <c r="E20" s="198"/>
      <c r="F20" s="199"/>
      <c r="G20" s="182"/>
      <c r="I20" s="1561"/>
      <c r="J20" s="1562"/>
      <c r="K20" s="1562"/>
      <c r="L20" s="1562"/>
      <c r="M20" s="1562"/>
      <c r="N20" s="154"/>
    </row>
    <row r="21" spans="2:14" ht="15" customHeight="1" thickBot="1">
      <c r="B21" s="177" t="s">
        <v>76</v>
      </c>
      <c r="C21" s="200">
        <f>C16*G21</f>
        <v>57415.999988425006</v>
      </c>
      <c r="D21" s="179" t="s">
        <v>81</v>
      </c>
      <c r="E21" s="180"/>
      <c r="F21" s="201"/>
      <c r="G21" s="1371">
        <v>3.6959124550000002</v>
      </c>
      <c r="I21" s="220"/>
      <c r="J21" s="220"/>
      <c r="K21" s="220"/>
      <c r="L21" s="220"/>
      <c r="M21" s="1402"/>
      <c r="N21" s="154"/>
    </row>
    <row r="22" spans="2:14" ht="15" customHeight="1" thickBot="1">
      <c r="B22" s="183" t="s">
        <v>77</v>
      </c>
      <c r="C22" s="203">
        <f>(C17*G22)/2*3</f>
        <v>23915.25</v>
      </c>
      <c r="D22" s="185" t="s">
        <v>81</v>
      </c>
      <c r="E22" s="204" t="s">
        <v>78</v>
      </c>
      <c r="F22" s="205"/>
      <c r="G22" s="206">
        <v>3</v>
      </c>
      <c r="I22" s="1563" t="s">
        <v>542</v>
      </c>
      <c r="J22" s="1564"/>
      <c r="K22" s="1398" t="s">
        <v>544</v>
      </c>
      <c r="L22" s="1565"/>
      <c r="M22" s="1400">
        <f>G303</f>
        <v>2035860098.1999664</v>
      </c>
      <c r="N22" s="154"/>
    </row>
    <row r="23" spans="2:14" ht="16" thickBot="1">
      <c r="B23" s="207"/>
      <c r="C23" s="208"/>
      <c r="D23" s="209"/>
      <c r="E23" s="208"/>
      <c r="F23" s="210"/>
      <c r="M23" s="141"/>
      <c r="N23" s="154"/>
    </row>
    <row r="24" spans="2:14" ht="15" customHeight="1" thickBot="1">
      <c r="B24" s="191" t="s">
        <v>82</v>
      </c>
      <c r="C24" s="211" t="s">
        <v>83</v>
      </c>
      <c r="D24" s="212"/>
      <c r="E24" s="213"/>
      <c r="F24" s="214" t="s">
        <v>84</v>
      </c>
      <c r="G24" s="215" t="s">
        <v>85</v>
      </c>
      <c r="H24" s="149"/>
      <c r="I24" s="1563" t="s">
        <v>543</v>
      </c>
      <c r="J24" s="1564"/>
      <c r="K24" s="1398"/>
      <c r="L24" s="1565"/>
      <c r="M24" s="1399">
        <f>G270</f>
        <v>1740856262.3926096</v>
      </c>
    </row>
    <row r="25" spans="2:14" ht="15" customHeight="1">
      <c r="B25" s="177" t="s">
        <v>86</v>
      </c>
      <c r="C25" s="216">
        <f>F25*G25</f>
        <v>10410</v>
      </c>
      <c r="D25" s="179" t="s">
        <v>73</v>
      </c>
      <c r="E25" s="217"/>
      <c r="F25" s="217">
        <f>C16-F28</f>
        <v>13880</v>
      </c>
      <c r="G25" s="218">
        <v>0.75</v>
      </c>
      <c r="H25" s="219"/>
      <c r="M25" s="1402"/>
      <c r="N25" s="154"/>
    </row>
    <row r="26" spans="2:14" ht="15" customHeight="1">
      <c r="B26" s="177" t="s">
        <v>86</v>
      </c>
      <c r="C26" s="216">
        <v>0</v>
      </c>
      <c r="D26" s="179"/>
      <c r="E26" s="180"/>
      <c r="F26" s="221"/>
      <c r="G26" s="222"/>
      <c r="H26" s="219"/>
      <c r="M26" s="1404" t="s">
        <v>550</v>
      </c>
      <c r="N26" s="154"/>
    </row>
    <row r="27" spans="2:14" ht="15" customHeight="1">
      <c r="B27" s="177" t="s">
        <v>86</v>
      </c>
      <c r="C27" s="216">
        <v>0</v>
      </c>
      <c r="D27" s="179" t="s">
        <v>73</v>
      </c>
      <c r="E27" s="217"/>
      <c r="F27" s="221"/>
      <c r="G27" s="222"/>
      <c r="H27" s="219"/>
      <c r="I27" s="1433" t="s">
        <v>545</v>
      </c>
      <c r="J27" s="1434"/>
      <c r="K27" s="1395" t="s">
        <v>538</v>
      </c>
      <c r="L27" s="1397">
        <f>G80</f>
        <v>441300000</v>
      </c>
      <c r="M27" s="1403">
        <f>L27/M22</f>
        <v>0.2167634212145429</v>
      </c>
      <c r="N27" s="154"/>
    </row>
    <row r="28" spans="2:14" ht="15" customHeight="1">
      <c r="B28" s="177" t="s">
        <v>87</v>
      </c>
      <c r="C28" s="216">
        <f>F28*G28</f>
        <v>1324</v>
      </c>
      <c r="D28" s="179" t="s">
        <v>73</v>
      </c>
      <c r="E28" s="180"/>
      <c r="F28" s="180">
        <v>1655</v>
      </c>
      <c r="G28" s="222">
        <v>0.8</v>
      </c>
      <c r="I28" s="152"/>
      <c r="J28" s="152"/>
      <c r="K28" s="152"/>
      <c r="L28" s="152"/>
      <c r="M28" s="1402"/>
      <c r="N28" s="154"/>
    </row>
    <row r="29" spans="2:14" ht="15" customHeight="1">
      <c r="B29" s="177" t="s">
        <v>88</v>
      </c>
      <c r="C29" s="216">
        <v>0</v>
      </c>
      <c r="D29" s="179" t="s">
        <v>73</v>
      </c>
      <c r="E29" s="217"/>
      <c r="F29" s="180"/>
      <c r="G29" s="223"/>
      <c r="I29" s="1424" t="s">
        <v>532</v>
      </c>
      <c r="J29" s="1425"/>
      <c r="K29" s="1389" t="s">
        <v>538</v>
      </c>
      <c r="L29" s="1391">
        <f>G198</f>
        <v>1067289152.0094154</v>
      </c>
      <c r="M29" s="1430">
        <f>L31/M22</f>
        <v>0.53885547665627431</v>
      </c>
    </row>
    <row r="30" spans="2:14" ht="15" customHeight="1">
      <c r="B30" s="177" t="s">
        <v>89</v>
      </c>
      <c r="C30" s="216">
        <v>0</v>
      </c>
      <c r="D30" s="179" t="s">
        <v>73</v>
      </c>
      <c r="E30" s="224"/>
      <c r="F30" s="180"/>
      <c r="G30" s="223"/>
      <c r="I30" s="1426"/>
      <c r="J30" s="1427"/>
      <c r="K30" s="1390" t="s">
        <v>535</v>
      </c>
      <c r="L30" s="1392">
        <f>G213</f>
        <v>29745211.61161688</v>
      </c>
      <c r="M30" s="1431"/>
    </row>
    <row r="31" spans="2:14" ht="15" customHeight="1">
      <c r="B31" s="177" t="s">
        <v>90</v>
      </c>
      <c r="C31" s="216">
        <v>0</v>
      </c>
      <c r="D31" s="179" t="s">
        <v>91</v>
      </c>
      <c r="E31" s="217"/>
      <c r="F31" s="225"/>
      <c r="G31" s="226"/>
      <c r="I31" s="1428"/>
      <c r="J31" s="1429"/>
      <c r="K31" s="1396" t="s">
        <v>214</v>
      </c>
      <c r="L31" s="1397">
        <f>SUM(L29:L30)</f>
        <v>1097034363.6210322</v>
      </c>
      <c r="M31" s="1432"/>
    </row>
    <row r="32" spans="2:14" ht="15" customHeight="1">
      <c r="B32" s="177" t="s">
        <v>92</v>
      </c>
      <c r="C32" s="216">
        <v>0</v>
      </c>
      <c r="D32" s="179" t="s">
        <v>91</v>
      </c>
      <c r="E32" s="180"/>
      <c r="F32" s="225"/>
      <c r="G32" s="226"/>
      <c r="M32" s="1402"/>
    </row>
    <row r="33" spans="2:13" ht="15" customHeight="1">
      <c r="B33" s="177" t="s">
        <v>93</v>
      </c>
      <c r="C33" s="216">
        <v>120</v>
      </c>
      <c r="D33" s="179" t="s">
        <v>91</v>
      </c>
      <c r="E33" s="217"/>
      <c r="F33" s="225"/>
      <c r="G33" s="227" t="s">
        <v>94</v>
      </c>
      <c r="H33" s="219"/>
      <c r="I33" s="1424" t="s">
        <v>533</v>
      </c>
      <c r="J33" s="1425"/>
      <c r="K33" s="1389" t="s">
        <v>534</v>
      </c>
      <c r="L33" s="1391">
        <f>G139</f>
        <v>55877000</v>
      </c>
      <c r="M33" s="1430">
        <f>L40/M22</f>
        <v>9.9477316221600845E-2</v>
      </c>
    </row>
    <row r="34" spans="2:13" ht="15" customHeight="1">
      <c r="B34" s="177" t="s">
        <v>95</v>
      </c>
      <c r="C34" s="216">
        <v>0</v>
      </c>
      <c r="D34" s="179" t="s">
        <v>91</v>
      </c>
      <c r="E34" s="228"/>
      <c r="F34" s="224"/>
      <c r="G34" s="229"/>
      <c r="H34" s="219"/>
      <c r="I34" s="1426"/>
      <c r="J34" s="1427"/>
      <c r="K34" s="1393" t="s">
        <v>547</v>
      </c>
      <c r="L34" s="1394">
        <f>G91</f>
        <v>7767500</v>
      </c>
      <c r="M34" s="1431"/>
    </row>
    <row r="35" spans="2:13" ht="15" customHeight="1" thickBot="1">
      <c r="B35" s="183" t="s">
        <v>96</v>
      </c>
      <c r="C35" s="230">
        <f>C25+C28</f>
        <v>11734</v>
      </c>
      <c r="D35" s="185"/>
      <c r="E35" s="231"/>
      <c r="F35" s="232"/>
      <c r="G35" s="233"/>
      <c r="H35" s="219"/>
      <c r="I35" s="1426"/>
      <c r="J35" s="1427"/>
      <c r="K35" s="1393" t="s">
        <v>536</v>
      </c>
      <c r="L35" s="1394">
        <f>G223</f>
        <v>101266998.77157742</v>
      </c>
      <c r="M35" s="1431"/>
    </row>
    <row r="36" spans="2:13" ht="15" customHeight="1" thickBot="1">
      <c r="B36" s="207"/>
      <c r="C36" s="208"/>
      <c r="D36" s="209"/>
      <c r="E36" s="234"/>
      <c r="F36" s="234"/>
      <c r="G36" s="235"/>
      <c r="I36" s="1426"/>
      <c r="J36" s="1427"/>
      <c r="K36" s="1393" t="s">
        <v>546</v>
      </c>
      <c r="L36" s="1394">
        <f>G233</f>
        <v>5630000</v>
      </c>
      <c r="M36" s="1431"/>
    </row>
    <row r="37" spans="2:13" ht="15" customHeight="1">
      <c r="B37" s="191" t="s">
        <v>97</v>
      </c>
      <c r="C37" s="1508" t="s">
        <v>98</v>
      </c>
      <c r="D37" s="1508"/>
      <c r="E37" s="1508" t="s">
        <v>99</v>
      </c>
      <c r="F37" s="1508"/>
      <c r="G37" s="236" t="s">
        <v>100</v>
      </c>
      <c r="I37" s="1426"/>
      <c r="J37" s="1427"/>
      <c r="K37" s="1393" t="s">
        <v>548</v>
      </c>
      <c r="L37" s="1394">
        <f>G242</f>
        <v>0</v>
      </c>
      <c r="M37" s="1431"/>
    </row>
    <row r="38" spans="2:13" ht="15" customHeight="1">
      <c r="B38" s="177" t="s">
        <v>101</v>
      </c>
      <c r="C38" s="237">
        <f>C25/G38</f>
        <v>297.42857142857144</v>
      </c>
      <c r="D38" s="179" t="s">
        <v>91</v>
      </c>
      <c r="E38" s="238" t="s">
        <v>3</v>
      </c>
      <c r="F38" s="179" t="s">
        <v>73</v>
      </c>
      <c r="G38" s="239">
        <v>35</v>
      </c>
      <c r="I38" s="1426"/>
      <c r="J38" s="1427"/>
      <c r="K38" s="1393" t="s">
        <v>539</v>
      </c>
      <c r="L38" s="1394">
        <f>G254</f>
        <v>31980400</v>
      </c>
      <c r="M38" s="1431"/>
    </row>
    <row r="39" spans="2:13" ht="15" customHeight="1">
      <c r="B39" s="177" t="s">
        <v>102</v>
      </c>
      <c r="C39" s="237"/>
      <c r="D39" s="179" t="s">
        <v>91</v>
      </c>
      <c r="E39" s="238" t="s">
        <v>3</v>
      </c>
      <c r="F39" s="179" t="s">
        <v>73</v>
      </c>
      <c r="G39" s="239"/>
      <c r="I39" s="1426"/>
      <c r="J39" s="1427"/>
      <c r="K39" s="1390" t="s">
        <v>549</v>
      </c>
      <c r="L39" s="1392">
        <f>G264</f>
        <v>0</v>
      </c>
      <c r="M39" s="1431"/>
    </row>
    <row r="40" spans="2:13" ht="15" customHeight="1">
      <c r="B40" s="177" t="s">
        <v>103</v>
      </c>
      <c r="C40" s="237"/>
      <c r="D40" s="179" t="s">
        <v>91</v>
      </c>
      <c r="E40" s="238" t="s">
        <v>3</v>
      </c>
      <c r="F40" s="179" t="s">
        <v>73</v>
      </c>
      <c r="G40" s="239"/>
      <c r="I40" s="1428"/>
      <c r="J40" s="1429"/>
      <c r="K40" s="1396" t="s">
        <v>214</v>
      </c>
      <c r="L40" s="1397">
        <f>SUM(L33:L39)</f>
        <v>202521898.77157742</v>
      </c>
      <c r="M40" s="1432"/>
    </row>
    <row r="41" spans="2:13" ht="15" customHeight="1">
      <c r="B41" s="177" t="s">
        <v>104</v>
      </c>
      <c r="C41" s="237"/>
      <c r="D41" s="179" t="s">
        <v>91</v>
      </c>
      <c r="E41" s="238" t="s">
        <v>3</v>
      </c>
      <c r="F41" s="179" t="s">
        <v>73</v>
      </c>
      <c r="G41" s="239"/>
      <c r="M41" s="1402"/>
    </row>
    <row r="42" spans="2:13" ht="15" customHeight="1" thickBot="1">
      <c r="B42" s="240" t="s">
        <v>105</v>
      </c>
      <c r="C42" s="241">
        <f>C38</f>
        <v>297.42857142857144</v>
      </c>
      <c r="D42" s="185" t="s">
        <v>91</v>
      </c>
      <c r="E42" s="242">
        <v>0</v>
      </c>
      <c r="F42" s="231" t="s">
        <v>73</v>
      </c>
      <c r="G42" s="243"/>
      <c r="I42" s="1424" t="s">
        <v>540</v>
      </c>
      <c r="J42" s="1425"/>
      <c r="K42" s="1389" t="s">
        <v>541</v>
      </c>
      <c r="L42" s="1391">
        <f>G283</f>
        <v>284138835.80735683</v>
      </c>
      <c r="M42" s="1430">
        <f>L44/M22</f>
        <v>0.14490378590758202</v>
      </c>
    </row>
    <row r="43" spans="2:13" ht="15" customHeight="1">
      <c r="B43" s="207"/>
      <c r="C43" s="208"/>
      <c r="D43" s="209"/>
      <c r="E43" s="234"/>
      <c r="F43" s="234"/>
      <c r="G43" s="235"/>
      <c r="I43" s="1426"/>
      <c r="J43" s="1427"/>
      <c r="K43" s="1390" t="s">
        <v>537</v>
      </c>
      <c r="L43" s="1392">
        <f>G297</f>
        <v>10865000</v>
      </c>
      <c r="M43" s="1431"/>
    </row>
    <row r="44" spans="2:13" ht="15" customHeight="1" thickBot="1">
      <c r="I44" s="1428"/>
      <c r="J44" s="1429"/>
      <c r="K44" s="1396" t="s">
        <v>214</v>
      </c>
      <c r="L44" s="1397">
        <f>SUM(L42:L43)</f>
        <v>295003835.80735683</v>
      </c>
      <c r="M44" s="1432"/>
    </row>
    <row r="45" spans="2:13" ht="15" customHeight="1">
      <c r="B45" s="244" t="s">
        <v>106</v>
      </c>
      <c r="C45" s="245" t="s">
        <v>107</v>
      </c>
      <c r="D45" s="246" t="s">
        <v>108</v>
      </c>
      <c r="E45" s="246" t="s">
        <v>109</v>
      </c>
      <c r="F45" s="246" t="s">
        <v>110</v>
      </c>
      <c r="G45" s="247" t="s">
        <v>111</v>
      </c>
    </row>
    <row r="46" spans="2:13" ht="15" customHeight="1">
      <c r="B46" s="248" t="s">
        <v>112</v>
      </c>
      <c r="C46" s="249" t="s">
        <v>3</v>
      </c>
      <c r="D46" s="250">
        <v>3</v>
      </c>
      <c r="E46" s="251">
        <f>D46/12</f>
        <v>0.25</v>
      </c>
      <c r="F46" s="251">
        <f>E46</f>
        <v>0.25</v>
      </c>
      <c r="G46" s="252"/>
      <c r="M46" s="164"/>
    </row>
    <row r="47" spans="2:13" ht="15" customHeight="1">
      <c r="B47" s="253" t="s">
        <v>113</v>
      </c>
      <c r="C47" s="254" t="s">
        <v>3</v>
      </c>
      <c r="D47" s="255">
        <v>3</v>
      </c>
      <c r="E47" s="256">
        <f t="shared" ref="E47:E54" si="0">D47/12</f>
        <v>0.25</v>
      </c>
      <c r="F47" s="256">
        <f>E47+F46</f>
        <v>0.5</v>
      </c>
      <c r="G47" s="257"/>
      <c r="M47" s="164"/>
    </row>
    <row r="48" spans="2:13" ht="15" customHeight="1">
      <c r="B48" s="253" t="s">
        <v>114</v>
      </c>
      <c r="C48" s="254" t="s">
        <v>3</v>
      </c>
      <c r="D48" s="237">
        <v>0</v>
      </c>
      <c r="E48" s="256">
        <f t="shared" si="0"/>
        <v>0</v>
      </c>
      <c r="F48" s="256">
        <f t="shared" ref="F48:F54" si="1">E48+F47</f>
        <v>0.5</v>
      </c>
      <c r="G48" s="257"/>
      <c r="M48" s="141"/>
    </row>
    <row r="49" spans="2:19" ht="15" customHeight="1">
      <c r="B49" s="253" t="s">
        <v>115</v>
      </c>
      <c r="C49" s="254"/>
      <c r="D49" s="237">
        <v>0</v>
      </c>
      <c r="E49" s="256">
        <f>+D49/12</f>
        <v>0</v>
      </c>
      <c r="F49" s="256">
        <f t="shared" si="1"/>
        <v>0.5</v>
      </c>
      <c r="G49" s="257"/>
      <c r="M49" s="141"/>
    </row>
    <row r="50" spans="2:19" ht="15" customHeight="1">
      <c r="B50" s="253" t="s">
        <v>116</v>
      </c>
      <c r="C50" s="254"/>
      <c r="D50" s="237">
        <v>0</v>
      </c>
      <c r="E50" s="256">
        <f t="shared" si="0"/>
        <v>0</v>
      </c>
      <c r="F50" s="256">
        <f t="shared" si="1"/>
        <v>0.5</v>
      </c>
      <c r="G50" s="257"/>
    </row>
    <row r="51" spans="2:19" ht="15" customHeight="1">
      <c r="B51" s="253" t="s">
        <v>117</v>
      </c>
      <c r="C51" s="254"/>
      <c r="D51" s="237">
        <v>14</v>
      </c>
      <c r="E51" s="256">
        <f>D51/12</f>
        <v>1.1666666666666667</v>
      </c>
      <c r="F51" s="256">
        <f t="shared" si="1"/>
        <v>1.6666666666666667</v>
      </c>
      <c r="G51" s="257"/>
    </row>
    <row r="52" spans="2:19" ht="15" customHeight="1">
      <c r="B52" s="253" t="s">
        <v>118</v>
      </c>
      <c r="C52" s="258"/>
      <c r="D52" s="237">
        <v>4</v>
      </c>
      <c r="E52" s="256">
        <f t="shared" si="0"/>
        <v>0.33333333333333331</v>
      </c>
      <c r="F52" s="256">
        <f t="shared" si="1"/>
        <v>2</v>
      </c>
      <c r="G52" s="257"/>
    </row>
    <row r="53" spans="2:19" ht="15" customHeight="1" thickBot="1">
      <c r="B53" s="253" t="s">
        <v>119</v>
      </c>
      <c r="C53" s="258"/>
      <c r="D53" s="237">
        <v>24</v>
      </c>
      <c r="E53" s="256">
        <f t="shared" si="0"/>
        <v>2</v>
      </c>
      <c r="F53" s="256">
        <f t="shared" si="1"/>
        <v>4</v>
      </c>
      <c r="G53" s="257"/>
    </row>
    <row r="54" spans="2:19" ht="15" customHeight="1">
      <c r="B54" s="259" t="s">
        <v>120</v>
      </c>
      <c r="C54" s="260"/>
      <c r="D54" s="261">
        <v>6</v>
      </c>
      <c r="E54" s="262">
        <f t="shared" si="0"/>
        <v>0.5</v>
      </c>
      <c r="F54" s="262">
        <f t="shared" si="1"/>
        <v>4.5</v>
      </c>
      <c r="G54" s="263"/>
      <c r="I54" s="1516" t="s">
        <v>121</v>
      </c>
      <c r="J54" s="1517"/>
      <c r="K54" s="1517"/>
      <c r="L54" s="1517"/>
      <c r="M54" s="1517"/>
      <c r="N54" s="1517"/>
      <c r="O54" s="1517"/>
      <c r="P54" s="1517"/>
      <c r="Q54" s="1517"/>
      <c r="R54" s="1518"/>
    </row>
    <row r="55" spans="2:19" ht="15" customHeight="1" thickBot="1">
      <c r="B55" s="264" t="s">
        <v>122</v>
      </c>
      <c r="C55" s="265"/>
      <c r="D55" s="266">
        <f>SUM(D46:D54)</f>
        <v>54</v>
      </c>
      <c r="E55" s="267">
        <f>SUM(E46:E54)</f>
        <v>4.5</v>
      </c>
      <c r="F55" s="268"/>
      <c r="G55" s="269"/>
      <c r="I55" s="1519"/>
      <c r="J55" s="1520"/>
      <c r="K55" s="1520"/>
      <c r="L55" s="1520"/>
      <c r="M55" s="1520"/>
      <c r="N55" s="1520"/>
      <c r="O55" s="1520"/>
      <c r="P55" s="1520"/>
      <c r="Q55" s="1520"/>
      <c r="R55" s="1521"/>
    </row>
    <row r="56" spans="2:19" ht="20" customHeight="1" thickBot="1">
      <c r="B56" s="270"/>
      <c r="C56" s="234"/>
      <c r="D56" s="234"/>
      <c r="E56" s="234"/>
      <c r="F56" s="234"/>
      <c r="G56" s="234"/>
    </row>
    <row r="57" spans="2:19" ht="20" customHeight="1" thickBot="1">
      <c r="B57" s="270"/>
      <c r="C57" s="234"/>
      <c r="D57" s="234"/>
      <c r="E57" s="234"/>
      <c r="F57" s="234"/>
      <c r="G57" s="234"/>
      <c r="H57" s="271" t="s">
        <v>109</v>
      </c>
      <c r="I57" s="272">
        <v>2025</v>
      </c>
      <c r="J57" s="1524">
        <v>2026</v>
      </c>
      <c r="K57" s="1525"/>
      <c r="L57" s="1522">
        <v>2027</v>
      </c>
      <c r="M57" s="1523"/>
      <c r="N57" s="1524">
        <v>2028</v>
      </c>
      <c r="O57" s="1525"/>
      <c r="P57" s="1522">
        <v>2029</v>
      </c>
      <c r="Q57" s="1523"/>
      <c r="R57" s="273">
        <v>2030</v>
      </c>
      <c r="S57" s="274"/>
    </row>
    <row r="58" spans="2:19" ht="15" customHeight="1" thickBot="1">
      <c r="B58" s="1467" t="s">
        <v>123</v>
      </c>
      <c r="C58" s="1468"/>
      <c r="D58" s="1468"/>
      <c r="E58" s="1468"/>
      <c r="F58" s="1468"/>
      <c r="G58" s="1469"/>
      <c r="H58" s="271" t="s">
        <v>124</v>
      </c>
      <c r="I58" s="275" t="s">
        <v>125</v>
      </c>
      <c r="J58" s="276" t="s">
        <v>126</v>
      </c>
      <c r="K58" s="277" t="s">
        <v>125</v>
      </c>
      <c r="L58" s="278" t="s">
        <v>126</v>
      </c>
      <c r="M58" s="279" t="s">
        <v>125</v>
      </c>
      <c r="N58" s="276" t="s">
        <v>126</v>
      </c>
      <c r="O58" s="277" t="s">
        <v>125</v>
      </c>
      <c r="P58" s="278" t="s">
        <v>126</v>
      </c>
      <c r="Q58" s="279" t="s">
        <v>125</v>
      </c>
      <c r="R58" s="280" t="s">
        <v>126</v>
      </c>
    </row>
    <row r="59" spans="2:19" ht="15" customHeight="1" thickBot="1">
      <c r="B59" s="1470"/>
      <c r="C59" s="1471"/>
      <c r="D59" s="1471"/>
      <c r="E59" s="1471"/>
      <c r="F59" s="1471"/>
      <c r="G59" s="1472"/>
      <c r="H59" s="271" t="s">
        <v>108</v>
      </c>
      <c r="I59" s="281">
        <v>3</v>
      </c>
      <c r="J59" s="282">
        <v>6</v>
      </c>
      <c r="K59" s="283">
        <v>6</v>
      </c>
      <c r="L59" s="282">
        <v>6</v>
      </c>
      <c r="M59" s="283">
        <v>6</v>
      </c>
      <c r="N59" s="282">
        <v>6</v>
      </c>
      <c r="O59" s="283">
        <v>6</v>
      </c>
      <c r="P59" s="282">
        <v>6</v>
      </c>
      <c r="Q59" s="283">
        <v>6</v>
      </c>
      <c r="R59" s="281">
        <v>3</v>
      </c>
    </row>
    <row r="60" spans="2:19" ht="20" customHeight="1" thickBot="1">
      <c r="B60" s="151"/>
      <c r="C60" s="151"/>
      <c r="D60" s="151"/>
      <c r="E60" s="151"/>
      <c r="F60" s="151"/>
      <c r="G60" s="284"/>
      <c r="I60" s="285"/>
      <c r="J60" s="285"/>
      <c r="K60" s="285"/>
      <c r="L60" s="285"/>
      <c r="M60" s="285"/>
      <c r="N60" s="285"/>
    </row>
    <row r="61" spans="2:19" ht="15" customHeight="1">
      <c r="B61" s="286" t="s">
        <v>127</v>
      </c>
      <c r="C61" s="287"/>
      <c r="D61" s="288" t="s">
        <v>128</v>
      </c>
      <c r="E61" s="288" t="s">
        <v>129</v>
      </c>
      <c r="F61" s="288" t="s">
        <v>130</v>
      </c>
      <c r="G61" s="289" t="s">
        <v>131</v>
      </c>
      <c r="I61" s="290" t="s">
        <v>132</v>
      </c>
      <c r="J61" s="291" t="s">
        <v>112</v>
      </c>
      <c r="K61" s="292" t="s">
        <v>133</v>
      </c>
      <c r="L61" s="291" t="s">
        <v>133</v>
      </c>
      <c r="M61" s="292" t="s">
        <v>134</v>
      </c>
      <c r="N61" s="291" t="s">
        <v>119</v>
      </c>
      <c r="O61" s="292" t="s">
        <v>119</v>
      </c>
      <c r="P61" s="291" t="s">
        <v>119</v>
      </c>
      <c r="Q61" s="292" t="s">
        <v>119</v>
      </c>
      <c r="R61" s="290" t="s">
        <v>135</v>
      </c>
    </row>
    <row r="62" spans="2:19" ht="15" customHeight="1">
      <c r="B62" s="293" t="s">
        <v>136</v>
      </c>
      <c r="C62" s="294"/>
      <c r="D62" s="295"/>
      <c r="E62" s="296"/>
      <c r="F62" s="297"/>
      <c r="G62" s="298"/>
      <c r="I62" s="299"/>
      <c r="J62" s="300"/>
      <c r="K62" s="301"/>
      <c r="L62" s="302"/>
      <c r="M62" s="303"/>
      <c r="N62" s="300"/>
      <c r="O62" s="301"/>
      <c r="P62" s="302"/>
      <c r="Q62" s="304"/>
      <c r="R62" s="305"/>
    </row>
    <row r="63" spans="2:19" ht="15" customHeight="1">
      <c r="B63" s="306" t="s">
        <v>137</v>
      </c>
      <c r="C63" s="307" t="s">
        <v>138</v>
      </c>
      <c r="D63" s="308"/>
      <c r="E63" s="309"/>
      <c r="F63" s="310"/>
      <c r="G63" s="311">
        <v>440000000</v>
      </c>
      <c r="H63" s="312"/>
      <c r="I63" s="313"/>
      <c r="J63" s="314">
        <f>G63</f>
        <v>440000000</v>
      </c>
      <c r="K63" s="315"/>
      <c r="L63" s="316"/>
      <c r="M63" s="303"/>
      <c r="N63" s="300"/>
      <c r="O63" s="301"/>
      <c r="P63" s="302"/>
      <c r="Q63" s="304"/>
      <c r="R63" s="305"/>
    </row>
    <row r="64" spans="2:19" ht="15" customHeight="1">
      <c r="B64" s="306"/>
      <c r="C64" s="307"/>
      <c r="D64" s="308"/>
      <c r="E64" s="317"/>
      <c r="F64" s="318"/>
      <c r="G64" s="319"/>
      <c r="H64" s="312"/>
      <c r="I64" s="313"/>
      <c r="J64" s="314"/>
      <c r="K64" s="315"/>
      <c r="L64" s="316"/>
      <c r="M64" s="303"/>
      <c r="N64" s="300"/>
      <c r="O64" s="301"/>
      <c r="P64" s="302"/>
      <c r="Q64" s="304"/>
      <c r="R64" s="305"/>
    </row>
    <row r="65" spans="2:18" ht="15" customHeight="1">
      <c r="B65" s="306" t="s">
        <v>139</v>
      </c>
      <c r="C65" s="307"/>
      <c r="D65" s="308"/>
      <c r="E65" s="317"/>
      <c r="F65" s="318"/>
      <c r="G65" s="311">
        <v>0</v>
      </c>
      <c r="H65" s="312"/>
      <c r="I65" s="313"/>
      <c r="J65" s="314"/>
      <c r="K65" s="315"/>
      <c r="L65" s="316"/>
      <c r="M65" s="303"/>
      <c r="N65" s="300"/>
      <c r="O65" s="301"/>
      <c r="P65" s="302"/>
      <c r="Q65" s="304"/>
      <c r="R65" s="305"/>
    </row>
    <row r="66" spans="2:18" ht="15" customHeight="1">
      <c r="B66" s="306" t="s">
        <v>140</v>
      </c>
      <c r="C66" s="307"/>
      <c r="D66" s="308"/>
      <c r="E66" s="317"/>
      <c r="F66" s="318"/>
      <c r="G66" s="319">
        <v>0</v>
      </c>
      <c r="H66" s="312"/>
      <c r="I66" s="313"/>
      <c r="J66" s="314"/>
      <c r="K66" s="315"/>
      <c r="L66" s="316"/>
      <c r="M66" s="303"/>
      <c r="N66" s="300"/>
      <c r="O66" s="301"/>
      <c r="P66" s="302"/>
      <c r="Q66" s="304"/>
      <c r="R66" s="305"/>
    </row>
    <row r="67" spans="2:18" ht="15" customHeight="1">
      <c r="B67" s="320" t="s">
        <v>141</v>
      </c>
      <c r="C67" s="307"/>
      <c r="D67" s="308"/>
      <c r="E67" s="317"/>
      <c r="F67" s="321"/>
      <c r="G67" s="319"/>
      <c r="I67" s="299"/>
      <c r="J67" s="300"/>
      <c r="K67" s="301"/>
      <c r="L67" s="302"/>
      <c r="M67" s="303"/>
      <c r="N67" s="300"/>
      <c r="O67" s="301"/>
      <c r="P67" s="302"/>
      <c r="Q67" s="304"/>
      <c r="R67" s="305"/>
    </row>
    <row r="68" spans="2:18" ht="15" customHeight="1">
      <c r="B68" s="306" t="s">
        <v>142</v>
      </c>
      <c r="C68" s="322"/>
      <c r="D68" s="308"/>
      <c r="E68" s="323">
        <v>0</v>
      </c>
      <c r="F68" s="324">
        <f>+G63</f>
        <v>440000000</v>
      </c>
      <c r="G68" s="325">
        <f>+F68*E68</f>
        <v>0</v>
      </c>
      <c r="I68" s="313"/>
      <c r="J68" s="314"/>
      <c r="K68" s="315"/>
      <c r="L68" s="316"/>
      <c r="M68" s="303"/>
      <c r="N68" s="300"/>
      <c r="O68" s="301"/>
      <c r="P68" s="302"/>
      <c r="Q68" s="304"/>
      <c r="R68" s="305"/>
    </row>
    <row r="69" spans="2:18" ht="15" customHeight="1">
      <c r="B69" s="306" t="s">
        <v>143</v>
      </c>
      <c r="C69" s="322"/>
      <c r="D69" s="308"/>
      <c r="E69" s="326"/>
      <c r="F69" s="324"/>
      <c r="G69" s="311">
        <v>300000</v>
      </c>
      <c r="I69" s="313">
        <f>G69</f>
        <v>300000</v>
      </c>
      <c r="J69" s="314"/>
      <c r="K69" s="315"/>
      <c r="L69" s="316"/>
      <c r="M69" s="303"/>
      <c r="N69" s="300"/>
      <c r="O69" s="301"/>
      <c r="P69" s="302"/>
      <c r="Q69" s="304"/>
      <c r="R69" s="305"/>
    </row>
    <row r="70" spans="2:18" ht="15" customHeight="1">
      <c r="B70" s="306" t="s">
        <v>144</v>
      </c>
      <c r="C70" s="322"/>
      <c r="D70" s="308"/>
      <c r="E70" s="326"/>
      <c r="F70" s="324"/>
      <c r="G70" s="311">
        <v>300000</v>
      </c>
      <c r="I70" s="313">
        <f>G70</f>
        <v>300000</v>
      </c>
      <c r="J70" s="314"/>
      <c r="K70" s="315"/>
      <c r="L70" s="316"/>
      <c r="M70" s="303"/>
      <c r="N70" s="300"/>
      <c r="O70" s="301"/>
      <c r="P70" s="302"/>
      <c r="Q70" s="304"/>
      <c r="R70" s="305"/>
    </row>
    <row r="71" spans="2:18" ht="15" customHeight="1">
      <c r="B71" s="306" t="s">
        <v>145</v>
      </c>
      <c r="C71" s="322"/>
      <c r="D71" s="308"/>
      <c r="E71" s="326"/>
      <c r="F71" s="324"/>
      <c r="G71" s="311">
        <v>0</v>
      </c>
      <c r="I71" s="313"/>
      <c r="J71" s="314"/>
      <c r="K71" s="315"/>
      <c r="L71" s="316"/>
      <c r="M71" s="303"/>
      <c r="N71" s="300"/>
      <c r="O71" s="301"/>
      <c r="P71" s="302"/>
      <c r="Q71" s="304"/>
      <c r="R71" s="305"/>
    </row>
    <row r="72" spans="2:18" ht="15" customHeight="1">
      <c r="B72" s="306"/>
      <c r="C72" s="322"/>
      <c r="D72" s="308"/>
      <c r="E72" s="326"/>
      <c r="F72" s="324"/>
      <c r="G72" s="319"/>
      <c r="I72" s="313"/>
      <c r="J72" s="314"/>
      <c r="K72" s="315"/>
      <c r="L72" s="316"/>
      <c r="M72" s="303"/>
      <c r="N72" s="300"/>
      <c r="O72" s="301"/>
      <c r="P72" s="302"/>
      <c r="Q72" s="304"/>
      <c r="R72" s="305"/>
    </row>
    <row r="73" spans="2:18" ht="15" customHeight="1">
      <c r="B73" s="320" t="s">
        <v>146</v>
      </c>
      <c r="C73" s="322"/>
      <c r="D73" s="308"/>
      <c r="E73" s="326"/>
      <c r="F73" s="324"/>
      <c r="G73" s="319"/>
      <c r="I73" s="313"/>
      <c r="J73" s="314"/>
      <c r="K73" s="315"/>
      <c r="L73" s="316"/>
      <c r="M73" s="303"/>
      <c r="N73" s="300"/>
      <c r="O73" s="301"/>
      <c r="P73" s="302"/>
      <c r="Q73" s="304"/>
      <c r="R73" s="305"/>
    </row>
    <row r="74" spans="2:18" ht="15" customHeight="1">
      <c r="B74" s="306" t="s">
        <v>147</v>
      </c>
      <c r="C74" s="322"/>
      <c r="D74" s="308"/>
      <c r="E74" s="326"/>
      <c r="F74" s="324"/>
      <c r="G74" s="311">
        <v>200000</v>
      </c>
      <c r="I74" s="313">
        <f>G74</f>
        <v>200000</v>
      </c>
      <c r="J74" s="314"/>
      <c r="K74" s="315"/>
      <c r="L74" s="316"/>
      <c r="M74" s="303"/>
      <c r="N74" s="300"/>
      <c r="O74" s="301"/>
      <c r="P74" s="302"/>
      <c r="Q74" s="304"/>
      <c r="R74" s="305"/>
    </row>
    <row r="75" spans="2:18" ht="15" customHeight="1">
      <c r="B75" s="306" t="s">
        <v>148</v>
      </c>
      <c r="C75" s="322"/>
      <c r="D75" s="308"/>
      <c r="E75" s="326"/>
      <c r="F75" s="324"/>
      <c r="G75" s="311">
        <v>200000</v>
      </c>
      <c r="I75" s="313">
        <f>G75</f>
        <v>200000</v>
      </c>
      <c r="J75" s="314"/>
      <c r="K75" s="315"/>
      <c r="L75" s="316"/>
      <c r="M75" s="303"/>
      <c r="N75" s="300"/>
      <c r="O75" s="301"/>
      <c r="P75" s="302"/>
      <c r="Q75" s="304"/>
      <c r="R75" s="305"/>
    </row>
    <row r="76" spans="2:18" ht="15" customHeight="1">
      <c r="B76" s="306" t="s">
        <v>149</v>
      </c>
      <c r="C76" s="322"/>
      <c r="D76" s="308"/>
      <c r="E76" s="326"/>
      <c r="F76" s="324"/>
      <c r="G76" s="311">
        <v>0</v>
      </c>
      <c r="I76" s="313"/>
      <c r="J76" s="314"/>
      <c r="K76" s="315"/>
      <c r="L76" s="316"/>
      <c r="M76" s="303"/>
      <c r="N76" s="300"/>
      <c r="O76" s="301"/>
      <c r="P76" s="302"/>
      <c r="Q76" s="304"/>
      <c r="R76" s="305"/>
    </row>
    <row r="77" spans="2:18" ht="15" customHeight="1">
      <c r="B77" s="306" t="s">
        <v>150</v>
      </c>
      <c r="C77" s="322"/>
      <c r="D77" s="308"/>
      <c r="E77" s="326"/>
      <c r="F77" s="324"/>
      <c r="G77" s="311">
        <v>0</v>
      </c>
      <c r="I77" s="313"/>
      <c r="J77" s="314"/>
      <c r="K77" s="315"/>
      <c r="L77" s="316"/>
      <c r="M77" s="303"/>
      <c r="N77" s="300"/>
      <c r="O77" s="301"/>
      <c r="P77" s="302"/>
      <c r="Q77" s="304"/>
      <c r="R77" s="305"/>
    </row>
    <row r="78" spans="2:18" ht="15" customHeight="1">
      <c r="B78" s="306" t="s">
        <v>151</v>
      </c>
      <c r="C78" s="199"/>
      <c r="D78" s="199"/>
      <c r="E78" s="199"/>
      <c r="F78" s="199"/>
      <c r="G78" s="311">
        <v>200000</v>
      </c>
      <c r="I78" s="313">
        <f>G78</f>
        <v>200000</v>
      </c>
      <c r="J78" s="314"/>
      <c r="K78" s="315"/>
      <c r="L78" s="316"/>
      <c r="M78" s="303"/>
      <c r="N78" s="300"/>
      <c r="O78" s="301"/>
      <c r="P78" s="302"/>
      <c r="Q78" s="304"/>
      <c r="R78" s="305"/>
    </row>
    <row r="79" spans="2:18" ht="15" customHeight="1">
      <c r="B79" s="327" t="s">
        <v>152</v>
      </c>
      <c r="C79" s="328"/>
      <c r="D79" s="329"/>
      <c r="E79" s="330" t="s">
        <v>3</v>
      </c>
      <c r="F79" s="331" t="s">
        <v>3</v>
      </c>
      <c r="G79" s="332">
        <v>100000</v>
      </c>
      <c r="I79" s="313">
        <f>G79</f>
        <v>100000</v>
      </c>
      <c r="J79" s="314"/>
      <c r="K79" s="315"/>
      <c r="L79" s="316"/>
      <c r="M79" s="303"/>
      <c r="N79" s="300"/>
      <c r="O79" s="301"/>
      <c r="P79" s="302"/>
      <c r="Q79" s="304"/>
      <c r="R79" s="305"/>
    </row>
    <row r="80" spans="2:18" ht="15" customHeight="1">
      <c r="B80" s="333" t="s">
        <v>153</v>
      </c>
      <c r="C80" s="334"/>
      <c r="D80" s="335"/>
      <c r="E80" s="336"/>
      <c r="F80" s="337"/>
      <c r="G80" s="338">
        <f>SUM(G63:G79)</f>
        <v>441300000</v>
      </c>
      <c r="I80" s="313"/>
      <c r="J80" s="339"/>
      <c r="K80" s="340"/>
      <c r="L80" s="341"/>
      <c r="M80" s="342"/>
      <c r="N80" s="339"/>
      <c r="O80" s="301"/>
      <c r="P80" s="302"/>
      <c r="Q80" s="304"/>
      <c r="R80" s="305"/>
    </row>
    <row r="81" spans="2:18" ht="15" customHeight="1">
      <c r="B81" s="343"/>
      <c r="C81" s="164"/>
      <c r="D81" s="344"/>
      <c r="E81" s="345" t="s">
        <v>154</v>
      </c>
      <c r="F81" s="346" t="s">
        <v>83</v>
      </c>
      <c r="G81" s="347">
        <f>G80/C35</f>
        <v>37608.658598943242</v>
      </c>
      <c r="I81" s="299"/>
      <c r="J81" s="300"/>
      <c r="K81" s="301"/>
      <c r="L81" s="302"/>
      <c r="M81" s="303"/>
      <c r="N81" s="300"/>
      <c r="O81" s="301"/>
      <c r="P81" s="302"/>
      <c r="Q81" s="304"/>
      <c r="R81" s="305"/>
    </row>
    <row r="82" spans="2:18" ht="15" customHeight="1">
      <c r="B82" s="343"/>
      <c r="C82" s="164"/>
      <c r="D82" s="344"/>
      <c r="E82" s="348"/>
      <c r="F82" s="346" t="s">
        <v>84</v>
      </c>
      <c r="G82" s="347">
        <f>G80/C14</f>
        <v>28406.823302220793</v>
      </c>
      <c r="I82" s="299"/>
      <c r="J82" s="300"/>
      <c r="K82" s="301"/>
      <c r="L82" s="302"/>
      <c r="M82" s="303"/>
      <c r="N82" s="300"/>
      <c r="O82" s="301"/>
      <c r="P82" s="302"/>
      <c r="Q82" s="304"/>
      <c r="R82" s="305"/>
    </row>
    <row r="83" spans="2:18" ht="15" customHeight="1" thickBot="1">
      <c r="B83" s="349"/>
      <c r="C83" s="350"/>
      <c r="D83" s="351"/>
      <c r="E83" s="352"/>
      <c r="F83" s="353" t="s">
        <v>155</v>
      </c>
      <c r="G83" s="354">
        <f>G80/G303</f>
        <v>0.2167634212145429</v>
      </c>
      <c r="I83" s="355"/>
      <c r="J83" s="356"/>
      <c r="K83" s="357"/>
      <c r="L83" s="358"/>
      <c r="M83" s="359"/>
      <c r="N83" s="356"/>
      <c r="O83" s="357"/>
      <c r="P83" s="358"/>
      <c r="Q83" s="360"/>
      <c r="R83" s="361"/>
    </row>
    <row r="84" spans="2:18" ht="20" customHeight="1" thickBot="1">
      <c r="B84" s="164"/>
      <c r="C84" s="164"/>
      <c r="D84" s="344"/>
      <c r="E84" s="348"/>
      <c r="F84" s="346"/>
      <c r="G84" s="362"/>
      <c r="I84" s="363"/>
      <c r="J84" s="364"/>
      <c r="K84" s="365"/>
      <c r="L84" s="366"/>
      <c r="M84" s="367"/>
      <c r="N84" s="364"/>
      <c r="O84" s="365"/>
      <c r="P84" s="366"/>
      <c r="Q84" s="368"/>
      <c r="R84" s="369"/>
    </row>
    <row r="85" spans="2:18" ht="15" customHeight="1">
      <c r="B85" s="370" t="s">
        <v>156</v>
      </c>
      <c r="C85" s="371"/>
      <c r="D85" s="372"/>
      <c r="E85" s="373"/>
      <c r="F85" s="374"/>
      <c r="G85" s="375"/>
      <c r="I85" s="376"/>
      <c r="J85" s="377"/>
      <c r="K85" s="378"/>
      <c r="L85" s="379"/>
      <c r="M85" s="380"/>
      <c r="N85" s="377"/>
      <c r="O85" s="378"/>
      <c r="P85" s="379"/>
      <c r="Q85" s="381"/>
      <c r="R85" s="382"/>
    </row>
    <row r="86" spans="2:18" ht="15" customHeight="1">
      <c r="B86" s="383" t="s">
        <v>157</v>
      </c>
      <c r="C86" s="384" t="s">
        <v>158</v>
      </c>
      <c r="D86" s="385">
        <f>C14</f>
        <v>15535</v>
      </c>
      <c r="E86" s="386">
        <v>500</v>
      </c>
      <c r="F86" s="387"/>
      <c r="G86" s="388">
        <f>D86*E86</f>
        <v>7767500</v>
      </c>
      <c r="I86" s="389"/>
      <c r="J86" s="390"/>
      <c r="K86" s="391"/>
      <c r="L86" s="392"/>
      <c r="M86" s="304"/>
      <c r="N86" s="390"/>
      <c r="O86" s="301"/>
      <c r="P86" s="302"/>
      <c r="Q86" s="304"/>
      <c r="R86" s="393">
        <f>G86</f>
        <v>7767500</v>
      </c>
    </row>
    <row r="87" spans="2:18" ht="15" customHeight="1">
      <c r="B87" s="394" t="s">
        <v>159</v>
      </c>
      <c r="C87" s="395"/>
      <c r="D87" s="395"/>
      <c r="E87" s="396"/>
      <c r="F87" s="397"/>
      <c r="G87" s="398"/>
      <c r="I87" s="389"/>
      <c r="J87" s="390"/>
      <c r="K87" s="391"/>
      <c r="L87" s="302"/>
      <c r="M87" s="303"/>
      <c r="N87" s="300"/>
      <c r="O87" s="301"/>
      <c r="P87" s="302"/>
      <c r="Q87" s="304"/>
      <c r="R87" s="305"/>
    </row>
    <row r="88" spans="2:18" ht="15" customHeight="1">
      <c r="B88" s="394" t="s">
        <v>160</v>
      </c>
      <c r="C88" s="395"/>
      <c r="D88" s="395" t="s">
        <v>3</v>
      </c>
      <c r="E88" s="396"/>
      <c r="F88" s="397"/>
      <c r="G88" s="398"/>
      <c r="I88" s="389"/>
      <c r="J88" s="390"/>
      <c r="K88" s="391"/>
      <c r="L88" s="302"/>
      <c r="M88" s="303"/>
      <c r="N88" s="300" t="s">
        <v>3</v>
      </c>
      <c r="O88" s="301"/>
      <c r="P88" s="302"/>
      <c r="Q88" s="304"/>
      <c r="R88" s="305"/>
    </row>
    <row r="89" spans="2:18" ht="15" customHeight="1">
      <c r="B89" s="394" t="s">
        <v>3</v>
      </c>
      <c r="C89" s="395"/>
      <c r="D89" s="395" t="s">
        <v>3</v>
      </c>
      <c r="E89" s="396"/>
      <c r="F89" s="397"/>
      <c r="G89" s="399"/>
      <c r="I89" s="299"/>
      <c r="J89" s="300"/>
      <c r="K89" s="301"/>
      <c r="L89" s="302"/>
      <c r="M89" s="303"/>
      <c r="N89" s="300"/>
      <c r="O89" s="301"/>
      <c r="P89" s="302"/>
      <c r="Q89" s="304"/>
      <c r="R89" s="305"/>
    </row>
    <row r="90" spans="2:18" ht="15" customHeight="1">
      <c r="B90" s="400"/>
      <c r="C90" s="401"/>
      <c r="D90" s="401" t="s">
        <v>3</v>
      </c>
      <c r="E90" s="402"/>
      <c r="F90" s="403"/>
      <c r="G90" s="404"/>
      <c r="I90" s="299"/>
      <c r="J90" s="300"/>
      <c r="K90" s="301"/>
      <c r="L90" s="302"/>
      <c r="M90" s="303"/>
      <c r="N90" s="300"/>
      <c r="O90" s="301"/>
      <c r="P90" s="302"/>
      <c r="Q90" s="304"/>
      <c r="R90" s="305"/>
    </row>
    <row r="91" spans="2:18" ht="15" customHeight="1">
      <c r="B91" s="405" t="s">
        <v>161</v>
      </c>
      <c r="C91" s="334"/>
      <c r="D91" s="335"/>
      <c r="E91" s="336"/>
      <c r="F91" s="406"/>
      <c r="G91" s="407">
        <f>SUM(G86:G90)</f>
        <v>7767500</v>
      </c>
      <c r="I91" s="389"/>
      <c r="J91" s="390"/>
      <c r="K91" s="391"/>
      <c r="L91" s="392"/>
      <c r="M91" s="408"/>
      <c r="N91" s="390"/>
      <c r="O91" s="301"/>
      <c r="P91" s="302"/>
      <c r="Q91" s="304"/>
      <c r="R91" s="305"/>
    </row>
    <row r="92" spans="2:18" ht="15" customHeight="1">
      <c r="B92" s="343"/>
      <c r="C92" s="164"/>
      <c r="D92" s="344"/>
      <c r="E92" s="345" t="s">
        <v>154</v>
      </c>
      <c r="F92" s="346" t="s">
        <v>83</v>
      </c>
      <c r="G92" s="347">
        <f>G91/C35</f>
        <v>661.96522924833812</v>
      </c>
      <c r="I92" s="299"/>
      <c r="J92" s="300"/>
      <c r="K92" s="301"/>
      <c r="L92" s="302"/>
      <c r="M92" s="303"/>
      <c r="N92" s="300"/>
      <c r="O92" s="301"/>
      <c r="P92" s="302"/>
      <c r="Q92" s="304"/>
      <c r="R92" s="305"/>
    </row>
    <row r="93" spans="2:18" ht="15" customHeight="1">
      <c r="B93" s="343"/>
      <c r="C93" s="164"/>
      <c r="D93" s="344"/>
      <c r="E93" s="348"/>
      <c r="F93" s="346" t="s">
        <v>84</v>
      </c>
      <c r="G93" s="347">
        <f>G91/C14</f>
        <v>500</v>
      </c>
      <c r="I93" s="299"/>
      <c r="J93" s="300"/>
      <c r="K93" s="301"/>
      <c r="L93" s="302"/>
      <c r="M93" s="303"/>
      <c r="N93" s="300"/>
      <c r="O93" s="301"/>
      <c r="P93" s="302"/>
      <c r="Q93" s="304"/>
      <c r="R93" s="305"/>
    </row>
    <row r="94" spans="2:18" ht="15" customHeight="1" thickBot="1">
      <c r="B94" s="349"/>
      <c r="C94" s="350"/>
      <c r="D94" s="351"/>
      <c r="E94" s="352"/>
      <c r="F94" s="353" t="s">
        <v>155</v>
      </c>
      <c r="G94" s="354">
        <f>G91/G303</f>
        <v>3.8153407529661499E-3</v>
      </c>
      <c r="I94" s="355"/>
      <c r="J94" s="356"/>
      <c r="K94" s="357"/>
      <c r="L94" s="358"/>
      <c r="M94" s="359"/>
      <c r="N94" s="356"/>
      <c r="O94" s="357"/>
      <c r="P94" s="358"/>
      <c r="Q94" s="360"/>
      <c r="R94" s="361"/>
    </row>
    <row r="95" spans="2:18" ht="20" customHeight="1" thickBot="1">
      <c r="B95" s="164"/>
      <c r="C95" s="164"/>
      <c r="D95" s="344"/>
      <c r="E95" s="348"/>
      <c r="F95" s="346"/>
      <c r="G95" s="409"/>
      <c r="I95" s="363"/>
      <c r="J95" s="364"/>
      <c r="K95" s="365"/>
      <c r="L95" s="366"/>
      <c r="M95" s="367"/>
      <c r="N95" s="364"/>
      <c r="O95" s="365"/>
      <c r="P95" s="366"/>
      <c r="Q95" s="368"/>
      <c r="R95" s="369"/>
    </row>
    <row r="96" spans="2:18" ht="15" customHeight="1">
      <c r="B96" s="286" t="s">
        <v>162</v>
      </c>
      <c r="C96" s="287"/>
      <c r="D96" s="287"/>
      <c r="E96" s="410" t="s">
        <v>163</v>
      </c>
      <c r="F96" s="411"/>
      <c r="G96" s="412"/>
      <c r="I96" s="376"/>
      <c r="J96" s="377"/>
      <c r="K96" s="378"/>
      <c r="L96" s="379"/>
      <c r="M96" s="380"/>
      <c r="N96" s="377"/>
      <c r="O96" s="378"/>
      <c r="P96" s="379"/>
      <c r="Q96" s="381"/>
      <c r="R96" s="382"/>
    </row>
    <row r="97" spans="2:25" ht="15" customHeight="1">
      <c r="B97" s="413" t="s">
        <v>164</v>
      </c>
      <c r="C97" s="414"/>
      <c r="D97" s="295"/>
      <c r="E97" s="415"/>
      <c r="F97" s="297"/>
      <c r="G97" s="298"/>
      <c r="I97" s="416"/>
      <c r="J97" s="417"/>
      <c r="K97" s="418"/>
      <c r="L97" s="419"/>
      <c r="M97" s="420"/>
      <c r="N97" s="417"/>
      <c r="O97" s="301" t="s">
        <v>3</v>
      </c>
      <c r="P97" s="302" t="s">
        <v>3</v>
      </c>
      <c r="Q97" s="304" t="s">
        <v>3</v>
      </c>
      <c r="R97" s="305" t="s">
        <v>3</v>
      </c>
      <c r="S97" s="141" t="s">
        <v>3</v>
      </c>
      <c r="T97" s="141" t="s">
        <v>3</v>
      </c>
      <c r="U97" s="141" t="s">
        <v>3</v>
      </c>
      <c r="V97" s="141" t="s">
        <v>3</v>
      </c>
      <c r="W97" s="141" t="s">
        <v>3</v>
      </c>
      <c r="X97" s="141" t="s">
        <v>3</v>
      </c>
      <c r="Y97" s="141" t="s">
        <v>3</v>
      </c>
    </row>
    <row r="98" spans="2:25" ht="15" customHeight="1">
      <c r="B98" s="306" t="s">
        <v>165</v>
      </c>
      <c r="C98" s="175"/>
      <c r="D98" s="421"/>
      <c r="E98" s="422"/>
      <c r="F98" s="175"/>
      <c r="G98" s="423">
        <v>0</v>
      </c>
      <c r="I98" s="416"/>
      <c r="J98" s="417"/>
      <c r="K98" s="418"/>
      <c r="L98" s="419"/>
      <c r="M98" s="420"/>
      <c r="N98" s="417"/>
      <c r="O98" s="301"/>
      <c r="P98" s="302"/>
      <c r="Q98" s="304"/>
      <c r="R98" s="305"/>
    </row>
    <row r="99" spans="2:25" ht="15" customHeight="1">
      <c r="B99" s="306" t="s">
        <v>166</v>
      </c>
      <c r="C99" s="307" t="s">
        <v>167</v>
      </c>
      <c r="D99" s="424"/>
      <c r="E99" s="326"/>
      <c r="F99" s="175"/>
      <c r="G99" s="423">
        <v>5000000</v>
      </c>
      <c r="I99" s="416">
        <v>1500000</v>
      </c>
      <c r="J99" s="417">
        <f>G99-I99</f>
        <v>3500000</v>
      </c>
      <c r="K99" s="418"/>
      <c r="L99" s="419"/>
      <c r="M99" s="420"/>
      <c r="N99" s="417"/>
      <c r="O99" s="315" t="s">
        <v>3</v>
      </c>
      <c r="P99" s="316" t="s">
        <v>3</v>
      </c>
      <c r="Q99" s="425" t="s">
        <v>3</v>
      </c>
      <c r="R99" s="426" t="s">
        <v>3</v>
      </c>
      <c r="S99" s="312" t="s">
        <v>3</v>
      </c>
      <c r="T99" s="312" t="s">
        <v>3</v>
      </c>
      <c r="U99" s="312" t="s">
        <v>3</v>
      </c>
      <c r="V99" s="312" t="s">
        <v>3</v>
      </c>
      <c r="W99" s="312" t="s">
        <v>3</v>
      </c>
      <c r="X99" s="312" t="s">
        <v>3</v>
      </c>
      <c r="Y99" s="312" t="s">
        <v>3</v>
      </c>
    </row>
    <row r="100" spans="2:25" ht="15" customHeight="1">
      <c r="B100" s="306" t="s">
        <v>168</v>
      </c>
      <c r="C100" s="395"/>
      <c r="D100" s="424"/>
      <c r="E100" s="326"/>
      <c r="F100" s="175"/>
      <c r="G100" s="423">
        <v>0</v>
      </c>
      <c r="I100" s="416"/>
      <c r="J100" s="417"/>
      <c r="K100" s="418"/>
      <c r="L100" s="419"/>
      <c r="M100" s="420"/>
      <c r="N100" s="417"/>
      <c r="O100" s="315"/>
      <c r="P100" s="316"/>
      <c r="Q100" s="425"/>
      <c r="R100" s="426"/>
      <c r="S100" s="312"/>
      <c r="T100" s="312"/>
      <c r="U100" s="312"/>
      <c r="V100" s="312"/>
      <c r="W100" s="312"/>
      <c r="X100" s="312"/>
      <c r="Y100" s="312"/>
    </row>
    <row r="101" spans="2:25" ht="15" customHeight="1">
      <c r="B101" s="306" t="s">
        <v>169</v>
      </c>
      <c r="C101" s="307" t="s">
        <v>170</v>
      </c>
      <c r="D101" s="424"/>
      <c r="E101" s="326"/>
      <c r="F101" s="175"/>
      <c r="G101" s="423">
        <v>2500000</v>
      </c>
      <c r="I101" s="416"/>
      <c r="J101" s="417"/>
      <c r="K101" s="418"/>
      <c r="L101" s="419">
        <f>G101</f>
        <v>2500000</v>
      </c>
      <c r="M101" s="420"/>
      <c r="N101" s="417"/>
      <c r="O101" s="315"/>
      <c r="P101" s="316"/>
      <c r="Q101" s="425"/>
      <c r="R101" s="426"/>
      <c r="S101" s="312"/>
      <c r="T101" s="312"/>
      <c r="U101" s="312"/>
      <c r="V101" s="312"/>
      <c r="W101" s="312"/>
      <c r="X101" s="312"/>
      <c r="Y101" s="312"/>
    </row>
    <row r="102" spans="2:25" ht="15" customHeight="1">
      <c r="B102" s="306" t="s">
        <v>171</v>
      </c>
      <c r="C102" s="175"/>
      <c r="D102" s="424"/>
      <c r="E102" s="326"/>
      <c r="F102" s="175"/>
      <c r="G102" s="423"/>
      <c r="I102" s="416"/>
      <c r="J102" s="417"/>
      <c r="K102" s="418"/>
      <c r="L102" s="419"/>
      <c r="M102" s="420"/>
      <c r="N102" s="417"/>
      <c r="O102" s="315"/>
      <c r="P102" s="316"/>
      <c r="Q102" s="425"/>
      <c r="R102" s="426"/>
      <c r="S102" s="312"/>
      <c r="T102" s="312"/>
      <c r="U102" s="312"/>
      <c r="V102" s="312"/>
      <c r="W102" s="312"/>
      <c r="X102" s="312"/>
      <c r="Y102" s="312"/>
    </row>
    <row r="103" spans="2:25" ht="15" customHeight="1">
      <c r="B103" s="306" t="s">
        <v>172</v>
      </c>
      <c r="C103" s="175"/>
      <c r="D103" s="424"/>
      <c r="E103" s="326"/>
      <c r="F103" s="175"/>
      <c r="G103" s="423">
        <v>0</v>
      </c>
      <c r="I103" s="416"/>
      <c r="J103" s="417"/>
      <c r="K103" s="418"/>
      <c r="L103" s="419"/>
      <c r="M103" s="420"/>
      <c r="N103" s="417"/>
      <c r="O103" s="301"/>
      <c r="P103" s="302"/>
      <c r="Q103" s="304"/>
      <c r="R103" s="305"/>
    </row>
    <row r="104" spans="2:25" ht="15" customHeight="1">
      <c r="B104" s="306" t="s">
        <v>173</v>
      </c>
      <c r="C104" s="175"/>
      <c r="D104" s="424"/>
      <c r="E104" s="326"/>
      <c r="F104" s="175"/>
      <c r="G104" s="423">
        <v>0</v>
      </c>
      <c r="I104" s="416"/>
      <c r="J104" s="417"/>
      <c r="K104" s="418"/>
      <c r="L104" s="419"/>
      <c r="M104" s="420"/>
      <c r="N104" s="417"/>
      <c r="O104" s="301"/>
      <c r="P104" s="302"/>
      <c r="Q104" s="304"/>
      <c r="R104" s="305"/>
    </row>
    <row r="105" spans="2:25" ht="15" customHeight="1">
      <c r="B105" s="306" t="s">
        <v>174</v>
      </c>
      <c r="C105" s="175"/>
      <c r="D105" s="424"/>
      <c r="E105" s="326"/>
      <c r="F105" s="175"/>
      <c r="G105" s="423">
        <v>0</v>
      </c>
      <c r="H105" s="312"/>
      <c r="I105" s="416"/>
      <c r="J105" s="417"/>
      <c r="K105" s="418"/>
      <c r="L105" s="419"/>
      <c r="M105" s="420"/>
      <c r="N105" s="417"/>
      <c r="O105" s="315" t="s">
        <v>3</v>
      </c>
      <c r="P105" s="316" t="s">
        <v>3</v>
      </c>
      <c r="Q105" s="425" t="s">
        <v>3</v>
      </c>
      <c r="R105" s="426" t="s">
        <v>3</v>
      </c>
      <c r="S105" s="312" t="s">
        <v>3</v>
      </c>
      <c r="T105" s="312" t="s">
        <v>3</v>
      </c>
      <c r="U105" s="312" t="s">
        <v>3</v>
      </c>
      <c r="V105" s="312" t="s">
        <v>3</v>
      </c>
      <c r="W105" s="312" t="s">
        <v>3</v>
      </c>
      <c r="X105" s="312" t="s">
        <v>3</v>
      </c>
      <c r="Y105" s="312" t="s">
        <v>3</v>
      </c>
    </row>
    <row r="106" spans="2:25" ht="15" customHeight="1">
      <c r="B106" s="306" t="s">
        <v>175</v>
      </c>
      <c r="C106" s="175"/>
      <c r="D106" s="424"/>
      <c r="E106" s="326"/>
      <c r="F106" s="175"/>
      <c r="G106" s="423">
        <v>0</v>
      </c>
      <c r="I106" s="416"/>
      <c r="J106" s="417"/>
      <c r="K106" s="418"/>
      <c r="L106" s="419" t="s">
        <v>3</v>
      </c>
      <c r="M106" s="420"/>
      <c r="N106" s="417"/>
      <c r="O106" s="315" t="s">
        <v>3</v>
      </c>
      <c r="P106" s="316" t="s">
        <v>3</v>
      </c>
      <c r="Q106" s="425" t="s">
        <v>3</v>
      </c>
      <c r="R106" s="426" t="s">
        <v>3</v>
      </c>
      <c r="S106" s="312" t="s">
        <v>3</v>
      </c>
      <c r="T106" s="312" t="s">
        <v>3</v>
      </c>
      <c r="U106" s="312" t="s">
        <v>3</v>
      </c>
      <c r="V106" s="312" t="s">
        <v>3</v>
      </c>
      <c r="W106" s="312" t="s">
        <v>3</v>
      </c>
      <c r="X106" s="312" t="s">
        <v>3</v>
      </c>
      <c r="Y106" s="312" t="s">
        <v>3</v>
      </c>
    </row>
    <row r="107" spans="2:25" ht="15" customHeight="1">
      <c r="B107" s="306" t="s">
        <v>176</v>
      </c>
      <c r="C107" s="175"/>
      <c r="D107" s="424"/>
      <c r="E107" s="422"/>
      <c r="F107" s="308"/>
      <c r="G107" s="423">
        <f>E107*F107</f>
        <v>0</v>
      </c>
      <c r="I107" s="416"/>
      <c r="J107" s="417"/>
      <c r="K107" s="418">
        <f>G107</f>
        <v>0</v>
      </c>
      <c r="L107" s="419"/>
      <c r="M107" s="420"/>
      <c r="N107" s="417"/>
      <c r="O107" s="315"/>
      <c r="P107" s="316"/>
      <c r="Q107" s="425"/>
      <c r="R107" s="426"/>
      <c r="S107" s="312"/>
      <c r="T107" s="312"/>
      <c r="U107" s="312"/>
      <c r="V107" s="312"/>
      <c r="W107" s="312"/>
      <c r="X107" s="312"/>
      <c r="Y107" s="312"/>
    </row>
    <row r="108" spans="2:25" ht="15" customHeight="1">
      <c r="B108" s="306" t="s">
        <v>177</v>
      </c>
      <c r="C108" s="175"/>
      <c r="D108" s="427"/>
      <c r="E108" s="428">
        <v>250000</v>
      </c>
      <c r="F108" s="429">
        <v>6</v>
      </c>
      <c r="G108" s="430">
        <f>E108*F108</f>
        <v>1500000</v>
      </c>
      <c r="I108" s="416"/>
      <c r="J108" s="417"/>
      <c r="K108" s="418">
        <f>G108/2</f>
        <v>750000</v>
      </c>
      <c r="L108" s="419">
        <f>G108/2</f>
        <v>750000</v>
      </c>
      <c r="M108" s="420"/>
      <c r="N108" s="417"/>
      <c r="O108" s="315"/>
      <c r="P108" s="316"/>
      <c r="Q108" s="425"/>
      <c r="R108" s="426"/>
      <c r="S108" s="312"/>
      <c r="T108" s="312"/>
      <c r="U108" s="312"/>
      <c r="V108" s="312"/>
      <c r="W108" s="312"/>
      <c r="X108" s="312"/>
      <c r="Y108" s="312"/>
    </row>
    <row r="109" spans="2:25" ht="15" customHeight="1">
      <c r="B109" s="306" t="s">
        <v>178</v>
      </c>
      <c r="C109" s="175"/>
      <c r="D109" s="427"/>
      <c r="E109" s="428">
        <v>300000</v>
      </c>
      <c r="F109" s="429">
        <v>6</v>
      </c>
      <c r="G109" s="430">
        <f>E109*F109</f>
        <v>1800000</v>
      </c>
      <c r="I109" s="416"/>
      <c r="J109" s="417"/>
      <c r="K109" s="418"/>
      <c r="L109" s="419"/>
      <c r="M109" s="420">
        <f>G109</f>
        <v>1800000</v>
      </c>
      <c r="N109" s="417"/>
      <c r="O109" s="315"/>
      <c r="P109" s="316"/>
      <c r="Q109" s="425"/>
      <c r="R109" s="426"/>
      <c r="S109" s="312"/>
      <c r="T109" s="312"/>
      <c r="U109" s="312"/>
      <c r="V109" s="312"/>
      <c r="W109" s="312"/>
      <c r="X109" s="312"/>
      <c r="Y109" s="312"/>
    </row>
    <row r="110" spans="2:25" ht="15" customHeight="1">
      <c r="B110" s="431" t="s">
        <v>179</v>
      </c>
      <c r="C110" s="307" t="s">
        <v>180</v>
      </c>
      <c r="D110" s="432">
        <f>C14</f>
        <v>15535</v>
      </c>
      <c r="E110" s="433">
        <v>850</v>
      </c>
      <c r="F110" s="434"/>
      <c r="G110" s="435">
        <f>D110*E110</f>
        <v>13204750</v>
      </c>
      <c r="I110" s="416"/>
      <c r="J110" s="417"/>
      <c r="K110" s="418">
        <f>0.3*G110</f>
        <v>3961425</v>
      </c>
      <c r="L110" s="419">
        <f>0.7*G110</f>
        <v>9243325</v>
      </c>
      <c r="M110" s="420"/>
      <c r="N110" s="417"/>
      <c r="O110" s="315"/>
      <c r="P110" s="316"/>
      <c r="Q110" s="425"/>
      <c r="R110" s="426"/>
      <c r="S110" s="312"/>
      <c r="T110" s="312"/>
      <c r="U110" s="312"/>
      <c r="V110" s="312"/>
      <c r="W110" s="312"/>
      <c r="X110" s="312"/>
      <c r="Y110" s="312"/>
    </row>
    <row r="111" spans="2:25" ht="15" customHeight="1">
      <c r="B111" s="431" t="s">
        <v>181</v>
      </c>
      <c r="C111" s="436"/>
      <c r="D111" s="437"/>
      <c r="E111" s="438"/>
      <c r="F111" s="434"/>
      <c r="G111" s="423">
        <v>0</v>
      </c>
      <c r="I111" s="416"/>
      <c r="J111" s="417"/>
      <c r="K111" s="418"/>
      <c r="L111" s="419"/>
      <c r="M111" s="420"/>
      <c r="N111" s="417"/>
      <c r="O111" s="315"/>
      <c r="P111" s="316"/>
      <c r="Q111" s="425"/>
      <c r="R111" s="426"/>
      <c r="S111" s="312"/>
      <c r="T111" s="312"/>
      <c r="U111" s="312"/>
      <c r="V111" s="312"/>
      <c r="W111" s="312"/>
      <c r="X111" s="312"/>
      <c r="Y111" s="312"/>
    </row>
    <row r="112" spans="2:25" ht="15" customHeight="1">
      <c r="B112" s="431"/>
      <c r="C112" s="436"/>
      <c r="D112" s="437"/>
      <c r="E112" s="438"/>
      <c r="F112" s="434"/>
      <c r="G112" s="439"/>
      <c r="I112" s="416"/>
      <c r="J112" s="417"/>
      <c r="K112" s="418"/>
      <c r="L112" s="419"/>
      <c r="M112" s="420"/>
      <c r="N112" s="417"/>
      <c r="O112" s="315"/>
      <c r="P112" s="316"/>
      <c r="Q112" s="425"/>
      <c r="R112" s="426"/>
      <c r="S112" s="312"/>
      <c r="T112" s="312"/>
      <c r="U112" s="312"/>
      <c r="V112" s="312"/>
      <c r="W112" s="312"/>
      <c r="X112" s="312"/>
      <c r="Y112" s="312"/>
    </row>
    <row r="113" spans="2:25" ht="15" customHeight="1">
      <c r="B113" s="440" t="s">
        <v>182</v>
      </c>
      <c r="C113" s="414"/>
      <c r="D113" s="295"/>
      <c r="E113" s="415"/>
      <c r="F113" s="297"/>
      <c r="G113" s="298"/>
      <c r="I113" s="416"/>
      <c r="J113" s="417"/>
      <c r="K113" s="418"/>
      <c r="L113" s="419"/>
      <c r="M113" s="420"/>
      <c r="N113" s="417"/>
      <c r="O113" s="315"/>
      <c r="P113" s="316"/>
      <c r="Q113" s="425"/>
      <c r="R113" s="426"/>
      <c r="S113" s="312"/>
      <c r="T113" s="312"/>
      <c r="U113" s="312"/>
      <c r="V113" s="312"/>
      <c r="W113" s="312"/>
      <c r="X113" s="312"/>
      <c r="Y113" s="312"/>
    </row>
    <row r="114" spans="2:25" ht="15" customHeight="1">
      <c r="B114" s="394" t="s">
        <v>183</v>
      </c>
      <c r="C114" s="199"/>
      <c r="D114" s="308"/>
      <c r="E114" s="441"/>
      <c r="F114" s="321"/>
      <c r="G114" s="311">
        <v>0</v>
      </c>
      <c r="I114" s="416"/>
      <c r="J114" s="417"/>
      <c r="K114" s="418"/>
      <c r="L114" s="419"/>
      <c r="M114" s="420"/>
      <c r="N114" s="417"/>
      <c r="O114" s="315"/>
      <c r="P114" s="316"/>
      <c r="Q114" s="425"/>
      <c r="R114" s="426"/>
      <c r="S114" s="312"/>
      <c r="T114" s="312"/>
      <c r="U114" s="312"/>
      <c r="V114" s="312"/>
      <c r="W114" s="312"/>
      <c r="X114" s="312"/>
      <c r="Y114" s="312"/>
    </row>
    <row r="115" spans="2:25" ht="15" customHeight="1">
      <c r="B115" s="442" t="s">
        <v>184</v>
      </c>
      <c r="C115" s="199"/>
      <c r="D115" s="308"/>
      <c r="E115" s="441"/>
      <c r="F115" s="321"/>
      <c r="G115" s="311"/>
      <c r="I115" s="416"/>
      <c r="J115" s="417"/>
      <c r="K115" s="418"/>
      <c r="L115" s="419"/>
      <c r="M115" s="420"/>
      <c r="N115" s="417"/>
      <c r="O115" s="315"/>
      <c r="P115" s="316"/>
      <c r="Q115" s="425"/>
      <c r="R115" s="426"/>
      <c r="S115" s="312"/>
      <c r="T115" s="312"/>
      <c r="U115" s="312"/>
      <c r="V115" s="312"/>
      <c r="W115" s="312"/>
      <c r="X115" s="312"/>
      <c r="Y115" s="312"/>
    </row>
    <row r="116" spans="2:25" ht="15" customHeight="1">
      <c r="B116" s="442" t="s">
        <v>185</v>
      </c>
      <c r="C116" s="199"/>
      <c r="D116" s="308"/>
      <c r="E116" s="441"/>
      <c r="F116" s="321"/>
      <c r="G116" s="311">
        <v>0</v>
      </c>
      <c r="I116" s="416"/>
      <c r="J116" s="417"/>
      <c r="K116" s="418"/>
      <c r="L116" s="419"/>
      <c r="M116" s="420"/>
      <c r="N116" s="417"/>
      <c r="O116" s="315"/>
      <c r="P116" s="316"/>
      <c r="Q116" s="425"/>
      <c r="R116" s="426"/>
      <c r="S116" s="312"/>
      <c r="T116" s="312"/>
      <c r="U116" s="312"/>
      <c r="V116" s="312"/>
      <c r="W116" s="312"/>
      <c r="X116" s="312"/>
      <c r="Y116" s="312"/>
    </row>
    <row r="117" spans="2:25" ht="15" customHeight="1">
      <c r="B117" s="442" t="s">
        <v>186</v>
      </c>
      <c r="C117" s="199"/>
      <c r="D117" s="308"/>
      <c r="E117" s="441"/>
      <c r="F117" s="321"/>
      <c r="G117" s="311">
        <v>500000</v>
      </c>
      <c r="I117" s="416"/>
      <c r="J117" s="417"/>
      <c r="K117" s="418">
        <f>G117/2</f>
        <v>250000</v>
      </c>
      <c r="L117" s="419">
        <f>G117/2</f>
        <v>250000</v>
      </c>
      <c r="M117" s="420"/>
      <c r="N117" s="417"/>
      <c r="O117" s="315"/>
      <c r="P117" s="316"/>
      <c r="Q117" s="425"/>
      <c r="R117" s="426"/>
      <c r="S117" s="312"/>
      <c r="T117" s="312"/>
      <c r="U117" s="312"/>
      <c r="V117" s="312"/>
      <c r="W117" s="312"/>
      <c r="X117" s="312"/>
      <c r="Y117" s="312"/>
    </row>
    <row r="118" spans="2:25" ht="15" customHeight="1">
      <c r="B118" s="431"/>
      <c r="C118" s="436"/>
      <c r="D118" s="437"/>
      <c r="E118" s="438"/>
      <c r="F118" s="434"/>
      <c r="G118" s="439"/>
      <c r="I118" s="416"/>
      <c r="J118" s="417"/>
      <c r="K118" s="418"/>
      <c r="L118" s="419"/>
      <c r="M118" s="420"/>
      <c r="N118" s="417"/>
      <c r="O118" s="315"/>
      <c r="P118" s="316"/>
      <c r="Q118" s="425"/>
      <c r="R118" s="426"/>
      <c r="S118" s="312"/>
      <c r="T118" s="312"/>
      <c r="U118" s="312"/>
      <c r="V118" s="312"/>
      <c r="W118" s="312"/>
      <c r="X118" s="312"/>
      <c r="Y118" s="312"/>
    </row>
    <row r="119" spans="2:25" ht="15" customHeight="1">
      <c r="B119" s="394" t="s">
        <v>187</v>
      </c>
      <c r="C119" s="307" t="s">
        <v>188</v>
      </c>
      <c r="D119" s="443"/>
      <c r="E119" s="444">
        <v>0</v>
      </c>
      <c r="F119" s="424">
        <v>16500</v>
      </c>
      <c r="G119" s="311">
        <f>+F119*E119</f>
        <v>0</v>
      </c>
      <c r="I119" s="416"/>
      <c r="J119" s="417"/>
      <c r="K119" s="418"/>
      <c r="L119" s="419"/>
      <c r="M119" s="420"/>
      <c r="N119" s="417"/>
      <c r="O119" s="315"/>
      <c r="P119" s="316"/>
      <c r="Q119" s="425"/>
      <c r="R119" s="426"/>
      <c r="S119" s="312"/>
      <c r="T119" s="312"/>
      <c r="U119" s="312"/>
      <c r="V119" s="312"/>
      <c r="W119" s="312"/>
      <c r="X119" s="312"/>
      <c r="Y119" s="312"/>
    </row>
    <row r="120" spans="2:25" ht="15" customHeight="1">
      <c r="B120" s="431"/>
      <c r="C120" s="436"/>
      <c r="D120" s="437"/>
      <c r="E120" s="438"/>
      <c r="F120" s="434"/>
      <c r="G120" s="439"/>
      <c r="I120" s="416"/>
      <c r="J120" s="417"/>
      <c r="K120" s="418"/>
      <c r="L120" s="419"/>
      <c r="M120" s="420"/>
      <c r="N120" s="417"/>
      <c r="O120" s="315"/>
      <c r="P120" s="316"/>
      <c r="Q120" s="425"/>
      <c r="R120" s="426"/>
      <c r="S120" s="312"/>
      <c r="T120" s="312"/>
      <c r="U120" s="312"/>
      <c r="V120" s="312"/>
      <c r="W120" s="312"/>
      <c r="X120" s="312"/>
      <c r="Y120" s="312"/>
    </row>
    <row r="121" spans="2:25" ht="15" customHeight="1">
      <c r="B121" s="1372" t="s">
        <v>189</v>
      </c>
      <c r="C121" s="1373"/>
      <c r="D121" s="1374"/>
      <c r="E121" s="1375"/>
      <c r="F121" s="1376"/>
      <c r="G121" s="1377">
        <f>SUM(G98:G117)</f>
        <v>24504750</v>
      </c>
      <c r="I121" s="416"/>
      <c r="J121" s="417"/>
      <c r="K121" s="418"/>
      <c r="L121" s="419"/>
      <c r="M121" s="420"/>
      <c r="N121" s="417"/>
      <c r="O121" s="315"/>
      <c r="P121" s="316"/>
      <c r="Q121" s="425"/>
      <c r="R121" s="426"/>
      <c r="S121" s="312"/>
      <c r="T121" s="312"/>
      <c r="U121" s="312"/>
      <c r="V121" s="312"/>
      <c r="W121" s="312"/>
      <c r="X121" s="312"/>
      <c r="Y121" s="312"/>
    </row>
    <row r="122" spans="2:25" ht="15" customHeight="1">
      <c r="B122" s="1383"/>
      <c r="C122" s="1384"/>
      <c r="D122" s="1385"/>
      <c r="E122" s="1386"/>
      <c r="F122" s="1387"/>
      <c r="G122" s="1388"/>
      <c r="I122" s="416"/>
      <c r="J122" s="417"/>
      <c r="K122" s="418"/>
      <c r="L122" s="419"/>
      <c r="M122" s="420"/>
      <c r="N122" s="417"/>
      <c r="O122" s="315"/>
      <c r="P122" s="316"/>
      <c r="Q122" s="425"/>
      <c r="R122" s="426"/>
      <c r="S122" s="312"/>
      <c r="T122" s="312"/>
      <c r="U122" s="312"/>
      <c r="V122" s="312"/>
      <c r="W122" s="312"/>
      <c r="X122" s="312"/>
      <c r="Y122" s="312"/>
    </row>
    <row r="123" spans="2:25" ht="15" customHeight="1">
      <c r="B123" s="1378" t="s">
        <v>190</v>
      </c>
      <c r="C123" s="1379"/>
      <c r="D123" s="1379"/>
      <c r="E123" s="1380" t="s">
        <v>163</v>
      </c>
      <c r="F123" s="1381"/>
      <c r="G123" s="1382"/>
      <c r="I123" s="416"/>
      <c r="J123" s="417"/>
      <c r="K123" s="418"/>
      <c r="L123" s="419"/>
      <c r="M123" s="420"/>
      <c r="N123" s="417"/>
      <c r="O123" s="315"/>
      <c r="P123" s="316"/>
      <c r="Q123" s="425"/>
      <c r="R123" s="426"/>
      <c r="S123" s="312"/>
      <c r="T123" s="312"/>
      <c r="U123" s="312"/>
      <c r="V123" s="312"/>
      <c r="W123" s="312"/>
      <c r="X123" s="312"/>
      <c r="Y123" s="312"/>
    </row>
    <row r="124" spans="2:25" s="207" customFormat="1" ht="15" customHeight="1">
      <c r="B124" s="456" t="s">
        <v>191</v>
      </c>
      <c r="C124" s="457"/>
      <c r="D124" s="457"/>
      <c r="E124" s="457"/>
      <c r="F124" s="457"/>
      <c r="G124" s="458"/>
      <c r="H124" s="207" t="s">
        <v>3</v>
      </c>
      <c r="I124" s="416"/>
      <c r="J124" s="417"/>
      <c r="K124" s="418"/>
      <c r="L124" s="419"/>
      <c r="M124" s="459"/>
      <c r="N124" s="460"/>
      <c r="O124" s="461"/>
      <c r="P124" s="462"/>
      <c r="Q124" s="463"/>
      <c r="R124" s="464"/>
    </row>
    <row r="125" spans="2:25" ht="15" customHeight="1">
      <c r="B125" s="394" t="s">
        <v>192</v>
      </c>
      <c r="C125" s="307" t="s">
        <v>180</v>
      </c>
      <c r="D125" s="465">
        <f>C14</f>
        <v>15535</v>
      </c>
      <c r="E125" s="466">
        <v>1350</v>
      </c>
      <c r="F125" s="467"/>
      <c r="G125" s="423">
        <f>D125*E125</f>
        <v>20972250</v>
      </c>
      <c r="H125" s="312" t="s">
        <v>3</v>
      </c>
      <c r="I125" s="416"/>
      <c r="J125" s="417"/>
      <c r="K125" s="418"/>
      <c r="L125" s="419"/>
      <c r="M125" s="420">
        <f>0.7*G125</f>
        <v>14680575</v>
      </c>
      <c r="N125" s="417">
        <f>0.3*G125</f>
        <v>6291675</v>
      </c>
      <c r="O125" s="301"/>
      <c r="P125" s="302"/>
      <c r="Q125" s="304"/>
      <c r="R125" s="305"/>
    </row>
    <row r="126" spans="2:25" ht="15" customHeight="1">
      <c r="B126" s="394" t="s">
        <v>193</v>
      </c>
      <c r="C126" s="307" t="s">
        <v>194</v>
      </c>
      <c r="D126" s="424"/>
      <c r="E126" s="422">
        <v>150000</v>
      </c>
      <c r="F126" s="468">
        <v>24</v>
      </c>
      <c r="G126" s="423">
        <f>E126*F126</f>
        <v>3600000</v>
      </c>
      <c r="H126" s="312" t="s">
        <v>3</v>
      </c>
      <c r="I126" s="416"/>
      <c r="J126" s="417"/>
      <c r="K126" s="418"/>
      <c r="L126" s="419"/>
      <c r="M126" s="420"/>
      <c r="N126" s="417">
        <f>G126/4</f>
        <v>900000</v>
      </c>
      <c r="O126" s="315">
        <f>G126/4</f>
        <v>900000</v>
      </c>
      <c r="P126" s="316">
        <f>G126/4</f>
        <v>900000</v>
      </c>
      <c r="Q126" s="425">
        <f>G126/4</f>
        <v>900000</v>
      </c>
      <c r="R126" s="305"/>
    </row>
    <row r="127" spans="2:25" ht="15" customHeight="1">
      <c r="B127" s="469" t="s">
        <v>195</v>
      </c>
      <c r="C127" s="175"/>
      <c r="D127" s="424"/>
      <c r="E127" s="326"/>
      <c r="F127" s="467"/>
      <c r="G127" s="423">
        <v>1000000</v>
      </c>
      <c r="H127" s="312" t="s">
        <v>3</v>
      </c>
      <c r="I127" s="416"/>
      <c r="J127" s="417"/>
      <c r="K127" s="418"/>
      <c r="L127" s="419"/>
      <c r="M127" s="420"/>
      <c r="N127" s="417">
        <f>G127</f>
        <v>1000000</v>
      </c>
      <c r="O127" s="301"/>
      <c r="P127" s="302"/>
      <c r="Q127" s="304"/>
      <c r="R127" s="305"/>
    </row>
    <row r="128" spans="2:25" ht="15" customHeight="1">
      <c r="B128" s="470" t="s">
        <v>196</v>
      </c>
      <c r="C128" s="175"/>
      <c r="D128" s="424"/>
      <c r="E128" s="326"/>
      <c r="F128" s="467"/>
      <c r="G128" s="423">
        <v>1500000</v>
      </c>
      <c r="H128" s="312"/>
      <c r="I128" s="416"/>
      <c r="J128" s="417"/>
      <c r="K128" s="418"/>
      <c r="L128" s="419"/>
      <c r="M128" s="420">
        <f>G128/2</f>
        <v>750000</v>
      </c>
      <c r="N128" s="417">
        <f>G128/2</f>
        <v>750000</v>
      </c>
      <c r="O128" s="301"/>
      <c r="P128" s="302"/>
      <c r="Q128" s="304"/>
      <c r="R128" s="305"/>
    </row>
    <row r="129" spans="2:18" ht="15" customHeight="1">
      <c r="B129" s="431" t="s">
        <v>197</v>
      </c>
      <c r="C129" s="471"/>
      <c r="D129" s="427"/>
      <c r="E129" s="472"/>
      <c r="F129" s="473"/>
      <c r="G129" s="430">
        <v>2500000</v>
      </c>
      <c r="H129" s="312" t="s">
        <v>3</v>
      </c>
      <c r="I129" s="416"/>
      <c r="J129" s="417"/>
      <c r="K129" s="418"/>
      <c r="L129" s="419"/>
      <c r="M129" s="420"/>
      <c r="N129" s="417"/>
      <c r="O129" s="301"/>
      <c r="P129" s="302"/>
      <c r="Q129" s="304"/>
      <c r="R129" s="426">
        <f>G129</f>
        <v>2500000</v>
      </c>
    </row>
    <row r="130" spans="2:18" s="485" customFormat="1" ht="15" customHeight="1">
      <c r="B130" s="306" t="s">
        <v>198</v>
      </c>
      <c r="C130" s="474"/>
      <c r="D130" s="437"/>
      <c r="E130" s="438"/>
      <c r="F130" s="434"/>
      <c r="G130" s="435">
        <v>1000000</v>
      </c>
      <c r="H130" s="312" t="s">
        <v>3</v>
      </c>
      <c r="I130" s="475"/>
      <c r="J130" s="476"/>
      <c r="K130" s="477"/>
      <c r="L130" s="478"/>
      <c r="M130" s="479"/>
      <c r="N130" s="480"/>
      <c r="O130" s="481"/>
      <c r="P130" s="482"/>
      <c r="Q130" s="483">
        <f>G130</f>
        <v>1000000</v>
      </c>
      <c r="R130" s="484"/>
    </row>
    <row r="131" spans="2:18" ht="15" customHeight="1">
      <c r="B131" s="486"/>
      <c r="C131" s="487"/>
      <c r="D131" s="488"/>
      <c r="E131" s="489"/>
      <c r="F131" s="490"/>
      <c r="G131" s="491"/>
      <c r="I131" s="416"/>
      <c r="J131" s="417"/>
      <c r="K131" s="418"/>
      <c r="L131" s="419"/>
      <c r="M131" s="420"/>
      <c r="N131" s="417"/>
      <c r="O131" s="301"/>
      <c r="P131" s="302"/>
      <c r="Q131" s="304"/>
      <c r="R131" s="305"/>
    </row>
    <row r="132" spans="2:18" ht="15" customHeight="1">
      <c r="B132" s="492" t="s">
        <v>182</v>
      </c>
      <c r="C132" s="493"/>
      <c r="D132" s="494"/>
      <c r="E132" s="495"/>
      <c r="F132" s="493"/>
      <c r="G132" s="496"/>
      <c r="I132" s="416"/>
      <c r="J132" s="417"/>
      <c r="K132" s="418"/>
      <c r="L132" s="419"/>
      <c r="M132" s="420"/>
      <c r="N132" s="417"/>
      <c r="O132" s="301"/>
      <c r="P132" s="302"/>
      <c r="Q132" s="304"/>
      <c r="R132" s="305"/>
    </row>
    <row r="133" spans="2:18" ht="15" customHeight="1">
      <c r="B133" s="394" t="s">
        <v>199</v>
      </c>
      <c r="C133" s="175"/>
      <c r="D133" s="421"/>
      <c r="E133" s="497"/>
      <c r="F133" s="175"/>
      <c r="G133" s="498"/>
      <c r="I133" s="416"/>
      <c r="J133" s="417"/>
      <c r="K133" s="418"/>
      <c r="L133" s="419"/>
      <c r="M133" s="420"/>
      <c r="N133" s="417"/>
      <c r="O133" s="301"/>
      <c r="P133" s="302"/>
      <c r="Q133" s="304"/>
      <c r="R133" s="305"/>
    </row>
    <row r="134" spans="2:18" ht="15" customHeight="1">
      <c r="B134" s="499" t="s">
        <v>200</v>
      </c>
      <c r="C134" s="175"/>
      <c r="D134" s="421"/>
      <c r="E134" s="497"/>
      <c r="F134" s="175"/>
      <c r="G134" s="423">
        <v>500000</v>
      </c>
      <c r="H134" s="141" t="s">
        <v>3</v>
      </c>
      <c r="I134" s="416"/>
      <c r="J134" s="417"/>
      <c r="K134" s="418"/>
      <c r="L134" s="419"/>
      <c r="M134" s="420"/>
      <c r="N134" s="417">
        <f>G134/4</f>
        <v>125000</v>
      </c>
      <c r="O134" s="315">
        <f>G134/4</f>
        <v>125000</v>
      </c>
      <c r="P134" s="316">
        <f>G134/4</f>
        <v>125000</v>
      </c>
      <c r="Q134" s="425">
        <f>G134/4</f>
        <v>125000</v>
      </c>
      <c r="R134" s="305"/>
    </row>
    <row r="135" spans="2:18" ht="15" customHeight="1">
      <c r="B135" s="499" t="s">
        <v>201</v>
      </c>
      <c r="C135" s="175"/>
      <c r="D135" s="500"/>
      <c r="E135" s="326"/>
      <c r="F135" s="175"/>
      <c r="G135" s="423">
        <v>300000</v>
      </c>
      <c r="H135" s="141" t="s">
        <v>3</v>
      </c>
      <c r="I135" s="416"/>
      <c r="J135" s="417"/>
      <c r="K135" s="418"/>
      <c r="L135" s="419"/>
      <c r="M135" s="420"/>
      <c r="N135" s="417"/>
      <c r="O135" s="301"/>
      <c r="P135" s="302"/>
      <c r="Q135" s="304"/>
      <c r="R135" s="426">
        <f>G135</f>
        <v>300000</v>
      </c>
    </row>
    <row r="136" spans="2:18" ht="15" customHeight="1">
      <c r="B136" s="501"/>
      <c r="C136" s="471"/>
      <c r="D136" s="502"/>
      <c r="E136" s="472"/>
      <c r="F136" s="471"/>
      <c r="G136" s="439"/>
      <c r="I136" s="416"/>
      <c r="J136" s="417"/>
      <c r="K136" s="418"/>
      <c r="L136" s="419"/>
      <c r="M136" s="420"/>
      <c r="N136" s="417"/>
      <c r="O136" s="301"/>
      <c r="P136" s="302"/>
      <c r="Q136" s="304"/>
      <c r="R136" s="305"/>
    </row>
    <row r="137" spans="2:18" ht="15" customHeight="1">
      <c r="B137" s="445" t="s">
        <v>202</v>
      </c>
      <c r="C137" s="446"/>
      <c r="D137" s="447"/>
      <c r="E137" s="448"/>
      <c r="F137" s="449"/>
      <c r="G137" s="450">
        <f>SUM(G124:G135)</f>
        <v>31372250</v>
      </c>
      <c r="I137" s="416"/>
      <c r="J137" s="417"/>
      <c r="K137" s="418"/>
      <c r="L137" s="419"/>
      <c r="M137" s="420"/>
      <c r="N137" s="417"/>
      <c r="O137" s="301"/>
      <c r="P137" s="302"/>
      <c r="Q137" s="304"/>
      <c r="R137" s="305"/>
    </row>
    <row r="138" spans="2:18" ht="15" customHeight="1">
      <c r="B138" s="486"/>
      <c r="C138" s="503"/>
      <c r="D138" s="504"/>
      <c r="E138" s="505"/>
      <c r="F138" s="506"/>
      <c r="G138" s="507"/>
      <c r="I138" s="416"/>
      <c r="J138" s="417"/>
      <c r="K138" s="418"/>
      <c r="L138" s="419"/>
      <c r="M138" s="420"/>
      <c r="N138" s="417"/>
      <c r="O138" s="301"/>
      <c r="P138" s="302"/>
      <c r="Q138" s="304"/>
      <c r="R138" s="305"/>
    </row>
    <row r="139" spans="2:18" ht="15" customHeight="1">
      <c r="B139" s="508" t="s">
        <v>203</v>
      </c>
      <c r="C139" s="509"/>
      <c r="D139" s="510"/>
      <c r="E139" s="511"/>
      <c r="F139" s="512"/>
      <c r="G139" s="338">
        <f>G121+G137</f>
        <v>55877000</v>
      </c>
      <c r="I139" s="416"/>
      <c r="J139" s="417"/>
      <c r="K139" s="418"/>
      <c r="L139" s="419"/>
      <c r="M139" s="420"/>
      <c r="N139" s="417"/>
      <c r="O139" s="301"/>
      <c r="P139" s="302"/>
      <c r="Q139" s="304"/>
      <c r="R139" s="305"/>
    </row>
    <row r="140" spans="2:18" ht="15" customHeight="1">
      <c r="B140" s="513"/>
      <c r="C140" s="514"/>
      <c r="D140" s="515"/>
      <c r="E140" s="516" t="s">
        <v>154</v>
      </c>
      <c r="F140" s="517" t="s">
        <v>83</v>
      </c>
      <c r="G140" s="518">
        <f>G139/C35</f>
        <v>4761.9737514913922</v>
      </c>
      <c r="I140" s="299"/>
      <c r="J140" s="300"/>
      <c r="K140" s="301"/>
      <c r="L140" s="302"/>
      <c r="M140" s="303"/>
      <c r="N140" s="300"/>
      <c r="O140" s="301"/>
      <c r="P140" s="302"/>
      <c r="Q140" s="304"/>
      <c r="R140" s="305"/>
    </row>
    <row r="141" spans="2:18" ht="15" customHeight="1">
      <c r="B141" s="343"/>
      <c r="C141" s="164"/>
      <c r="D141" s="344"/>
      <c r="E141" s="348"/>
      <c r="F141" s="346" t="s">
        <v>84</v>
      </c>
      <c r="G141" s="347">
        <f>G139/C16</f>
        <v>3596.8458319922756</v>
      </c>
      <c r="I141" s="299"/>
      <c r="J141" s="300"/>
      <c r="K141" s="301"/>
      <c r="L141" s="302"/>
      <c r="M141" s="303"/>
      <c r="N141" s="314"/>
      <c r="O141" s="301"/>
      <c r="P141" s="302"/>
      <c r="Q141" s="304"/>
      <c r="R141" s="305"/>
    </row>
    <row r="142" spans="2:18" ht="15" customHeight="1" thickBot="1">
      <c r="B142" s="349"/>
      <c r="C142" s="350"/>
      <c r="D142" s="351"/>
      <c r="E142" s="352"/>
      <c r="F142" s="353" t="s">
        <v>155</v>
      </c>
      <c r="G142" s="354">
        <f>G139/G303</f>
        <v>2.7446384969873134E-2</v>
      </c>
      <c r="H142" s="141" t="s">
        <v>3</v>
      </c>
      <c r="I142" s="355"/>
      <c r="J142" s="356"/>
      <c r="K142" s="357"/>
      <c r="L142" s="358"/>
      <c r="M142" s="359"/>
      <c r="N142" s="356"/>
      <c r="O142" s="357"/>
      <c r="P142" s="358"/>
      <c r="Q142" s="360"/>
      <c r="R142" s="361"/>
    </row>
    <row r="143" spans="2:18" ht="20" customHeight="1" thickBot="1">
      <c r="B143" s="164"/>
      <c r="C143" s="164"/>
      <c r="D143" s="344"/>
      <c r="E143" s="348"/>
      <c r="F143" s="346"/>
      <c r="G143" s="409"/>
      <c r="I143" s="363" t="s">
        <v>3</v>
      </c>
      <c r="J143" s="364"/>
      <c r="K143" s="365"/>
      <c r="L143" s="366"/>
      <c r="M143" s="367"/>
      <c r="N143" s="364"/>
      <c r="O143" s="365"/>
      <c r="P143" s="366"/>
      <c r="Q143" s="368"/>
      <c r="R143" s="369"/>
    </row>
    <row r="144" spans="2:18" ht="15" customHeight="1">
      <c r="B144" s="286" t="s">
        <v>204</v>
      </c>
      <c r="C144" s="287"/>
      <c r="D144" s="287"/>
      <c r="E144" s="287"/>
      <c r="F144" s="287"/>
      <c r="G144" s="412"/>
      <c r="I144" s="376"/>
      <c r="J144" s="377"/>
      <c r="K144" s="378"/>
      <c r="L144" s="379"/>
      <c r="M144" s="380"/>
      <c r="N144" s="377"/>
      <c r="O144" s="378"/>
      <c r="P144" s="379"/>
      <c r="Q144" s="381"/>
      <c r="R144" s="382"/>
    </row>
    <row r="145" spans="2:18" ht="15" customHeight="1">
      <c r="B145" s="519" t="s">
        <v>531</v>
      </c>
      <c r="C145" s="520"/>
      <c r="D145" s="295"/>
      <c r="E145" s="521"/>
      <c r="F145" s="522"/>
      <c r="G145" s="523"/>
      <c r="I145" s="524"/>
      <c r="J145" s="525"/>
      <c r="K145" s="526"/>
      <c r="L145" s="527"/>
      <c r="M145" s="303"/>
      <c r="N145" s="300"/>
      <c r="O145" s="301"/>
      <c r="P145" s="302"/>
      <c r="Q145" s="304"/>
      <c r="R145" s="305"/>
    </row>
    <row r="146" spans="2:18" ht="15" customHeight="1">
      <c r="B146" s="528" t="s">
        <v>205</v>
      </c>
      <c r="C146" s="529" t="s">
        <v>206</v>
      </c>
      <c r="D146" s="443" t="s">
        <v>207</v>
      </c>
      <c r="E146" s="530"/>
      <c r="F146" s="199"/>
      <c r="G146" s="531">
        <v>3000000</v>
      </c>
      <c r="I146" s="532"/>
      <c r="J146" s="533"/>
      <c r="K146" s="534"/>
      <c r="L146" s="535"/>
      <c r="M146" s="303"/>
      <c r="N146" s="536">
        <f>G146</f>
        <v>3000000</v>
      </c>
      <c r="O146" s="301"/>
      <c r="P146" s="302"/>
      <c r="Q146" s="304"/>
      <c r="R146" s="305"/>
    </row>
    <row r="147" spans="2:18" ht="15" customHeight="1">
      <c r="B147" s="528" t="s">
        <v>208</v>
      </c>
      <c r="C147" s="175"/>
      <c r="D147" s="443" t="s">
        <v>81</v>
      </c>
      <c r="E147" s="530"/>
      <c r="F147" s="199"/>
      <c r="G147" s="531">
        <v>0</v>
      </c>
      <c r="I147" s="532"/>
      <c r="J147" s="533"/>
      <c r="K147" s="534"/>
      <c r="L147" s="535"/>
      <c r="M147" s="303"/>
      <c r="N147" s="300"/>
      <c r="O147" s="301"/>
      <c r="P147" s="302"/>
      <c r="Q147" s="304"/>
      <c r="R147" s="305"/>
    </row>
    <row r="148" spans="2:18" ht="15" customHeight="1">
      <c r="B148" s="528" t="s">
        <v>209</v>
      </c>
      <c r="C148" s="537"/>
      <c r="D148" s="443" t="s">
        <v>207</v>
      </c>
      <c r="E148" s="530"/>
      <c r="F148" s="199"/>
      <c r="G148" s="531">
        <v>0</v>
      </c>
      <c r="I148" s="532"/>
      <c r="J148" s="533"/>
      <c r="K148" s="534"/>
      <c r="L148" s="535"/>
      <c r="M148" s="303"/>
      <c r="N148" s="300"/>
      <c r="O148" s="301"/>
      <c r="P148" s="302"/>
      <c r="Q148" s="304"/>
      <c r="R148" s="305"/>
    </row>
    <row r="149" spans="2:18" ht="15" customHeight="1">
      <c r="B149" s="528"/>
      <c r="C149" s="537"/>
      <c r="D149" s="443"/>
      <c r="E149" s="530"/>
      <c r="F149" s="199"/>
      <c r="G149" s="538"/>
      <c r="I149" s="532"/>
      <c r="J149" s="533"/>
      <c r="K149" s="534"/>
      <c r="L149" s="535"/>
      <c r="M149" s="303"/>
      <c r="N149" s="300"/>
      <c r="O149" s="301"/>
      <c r="P149" s="302"/>
      <c r="Q149" s="304"/>
      <c r="R149" s="305"/>
    </row>
    <row r="150" spans="2:18" ht="15" customHeight="1">
      <c r="B150" s="528" t="s">
        <v>210</v>
      </c>
      <c r="C150" s="537"/>
      <c r="D150" s="443" t="s">
        <v>207</v>
      </c>
      <c r="E150" s="530"/>
      <c r="F150" s="199"/>
      <c r="G150" s="531">
        <v>0</v>
      </c>
      <c r="I150" s="532"/>
      <c r="J150" s="533"/>
      <c r="K150" s="534"/>
      <c r="L150" s="535"/>
      <c r="M150" s="303"/>
      <c r="N150" s="300"/>
      <c r="O150" s="301"/>
      <c r="P150" s="302"/>
      <c r="Q150" s="304"/>
      <c r="R150" s="305"/>
    </row>
    <row r="151" spans="2:18" ht="15" customHeight="1">
      <c r="B151" s="539" t="s">
        <v>211</v>
      </c>
      <c r="C151" s="540" t="s">
        <v>212</v>
      </c>
      <c r="D151" s="541" t="s">
        <v>207</v>
      </c>
      <c r="E151" s="490"/>
      <c r="F151" s="542"/>
      <c r="G151" s="543">
        <v>5000000</v>
      </c>
      <c r="I151" s="416"/>
      <c r="J151" s="417"/>
      <c r="K151" s="418"/>
      <c r="L151" s="419"/>
      <c r="M151" s="420"/>
      <c r="N151" s="417">
        <f>G151</f>
        <v>5000000</v>
      </c>
      <c r="O151" s="301"/>
      <c r="P151" s="302"/>
      <c r="Q151" s="304"/>
      <c r="R151" s="305"/>
    </row>
    <row r="152" spans="2:18" ht="15" customHeight="1">
      <c r="B152" s="544" t="s">
        <v>3</v>
      </c>
      <c r="C152" s="545"/>
      <c r="D152" s="546"/>
      <c r="E152" s="547"/>
      <c r="F152" s="547"/>
      <c r="G152" s="548">
        <f>SUM(G146:G151)</f>
        <v>8000000</v>
      </c>
      <c r="I152" s="416"/>
      <c r="J152" s="417"/>
      <c r="K152" s="418"/>
      <c r="L152" s="419"/>
      <c r="M152" s="420"/>
      <c r="N152" s="417"/>
      <c r="O152" s="301"/>
      <c r="P152" s="302"/>
      <c r="Q152" s="304"/>
      <c r="R152" s="305"/>
    </row>
    <row r="153" spans="2:18" ht="15" customHeight="1">
      <c r="B153" s="549"/>
      <c r="C153" s="550"/>
      <c r="D153" s="551"/>
      <c r="E153" s="552"/>
      <c r="F153" s="552"/>
      <c r="G153" s="553"/>
      <c r="I153" s="416"/>
      <c r="J153" s="417"/>
      <c r="K153" s="418"/>
      <c r="L153" s="419"/>
      <c r="M153" s="420"/>
      <c r="N153" s="417"/>
      <c r="O153" s="301"/>
      <c r="P153" s="302"/>
      <c r="Q153" s="304"/>
      <c r="R153" s="305"/>
    </row>
    <row r="154" spans="2:18" ht="15" customHeight="1">
      <c r="B154" s="554" t="s">
        <v>213</v>
      </c>
      <c r="C154" s="555"/>
      <c r="D154" s="556"/>
      <c r="E154" s="557"/>
      <c r="F154" s="557"/>
      <c r="G154" s="558"/>
      <c r="I154" s="416"/>
      <c r="J154" s="417"/>
      <c r="K154" s="418"/>
      <c r="L154" s="419"/>
      <c r="M154" s="420"/>
      <c r="N154" s="417"/>
      <c r="O154" s="301"/>
      <c r="P154" s="302"/>
      <c r="Q154" s="304"/>
      <c r="R154" s="305"/>
    </row>
    <row r="155" spans="2:18" ht="15" customHeight="1">
      <c r="B155" s="559" t="s">
        <v>79</v>
      </c>
      <c r="C155" s="560"/>
      <c r="D155" s="560" t="s">
        <v>214</v>
      </c>
      <c r="E155" s="561" t="s">
        <v>3</v>
      </c>
      <c r="F155" s="562" t="s">
        <v>3</v>
      </c>
      <c r="G155" s="563" t="s">
        <v>3</v>
      </c>
      <c r="I155" s="416"/>
      <c r="J155" s="417"/>
      <c r="K155" s="418"/>
      <c r="L155" s="419"/>
      <c r="M155" s="420"/>
      <c r="N155" s="417"/>
      <c r="O155" s="301"/>
      <c r="P155" s="302"/>
      <c r="Q155" s="304"/>
      <c r="R155" s="305"/>
    </row>
    <row r="156" spans="2:18" ht="15" customHeight="1">
      <c r="B156" s="564" t="s">
        <v>76</v>
      </c>
      <c r="C156" s="565"/>
      <c r="D156" s="179" t="s">
        <v>81</v>
      </c>
      <c r="E156" s="180">
        <f>+C21</f>
        <v>57415.999988425006</v>
      </c>
      <c r="F156" s="566">
        <v>12500</v>
      </c>
      <c r="G156" s="567">
        <f>E156*F156</f>
        <v>717699999.85531259</v>
      </c>
      <c r="I156" s="416"/>
      <c r="J156" s="417"/>
      <c r="K156" s="418"/>
      <c r="L156" s="419"/>
      <c r="M156" s="420"/>
      <c r="N156" s="417"/>
      <c r="O156" s="301"/>
      <c r="P156" s="302"/>
      <c r="Q156" s="304"/>
      <c r="R156" s="305"/>
    </row>
    <row r="157" spans="2:18" ht="15" customHeight="1">
      <c r="B157" s="564" t="s">
        <v>77</v>
      </c>
      <c r="C157" s="180"/>
      <c r="D157" s="179" t="s">
        <v>81</v>
      </c>
      <c r="E157" s="180">
        <f>+C22</f>
        <v>23915.25</v>
      </c>
      <c r="F157" s="566">
        <v>9000</v>
      </c>
      <c r="G157" s="567">
        <f>E157*F157</f>
        <v>215237250</v>
      </c>
      <c r="I157" s="416"/>
      <c r="J157" s="417"/>
      <c r="K157" s="418"/>
      <c r="L157" s="419"/>
      <c r="M157" s="420"/>
      <c r="N157" s="417"/>
      <c r="O157" s="301"/>
      <c r="P157" s="302"/>
      <c r="Q157" s="304"/>
      <c r="R157" s="305"/>
    </row>
    <row r="158" spans="2:18" ht="15" customHeight="1">
      <c r="B158" s="568"/>
      <c r="C158" s="569"/>
      <c r="D158" s="329"/>
      <c r="E158" s="570"/>
      <c r="F158" s="571"/>
      <c r="G158" s="572">
        <f>SUM(G155:G157)</f>
        <v>932937249.85531259</v>
      </c>
      <c r="I158" s="416"/>
      <c r="J158" s="417"/>
      <c r="K158" s="418"/>
      <c r="L158" s="419"/>
      <c r="M158" s="420"/>
      <c r="N158" s="417"/>
      <c r="O158" s="301"/>
      <c r="P158" s="302"/>
      <c r="Q158" s="304"/>
      <c r="R158" s="305"/>
    </row>
    <row r="159" spans="2:18" ht="15" customHeight="1">
      <c r="B159" s="559" t="s">
        <v>215</v>
      </c>
      <c r="C159" s="573"/>
      <c r="D159" s="295"/>
      <c r="E159" s="574"/>
      <c r="F159" s="575"/>
      <c r="G159" s="576"/>
      <c r="I159" s="416"/>
      <c r="J159" s="417"/>
      <c r="K159" s="418"/>
      <c r="L159" s="419"/>
      <c r="M159" s="420"/>
      <c r="N159" s="417"/>
      <c r="O159" s="301"/>
      <c r="P159" s="302"/>
      <c r="Q159" s="304"/>
      <c r="R159" s="305"/>
    </row>
    <row r="160" spans="2:18" ht="15" customHeight="1">
      <c r="B160" s="564" t="s">
        <v>216</v>
      </c>
      <c r="C160" s="565"/>
      <c r="D160" s="179" t="s">
        <v>73</v>
      </c>
      <c r="E160" s="577">
        <f>C25</f>
        <v>10410</v>
      </c>
      <c r="F160" s="578">
        <v>70000</v>
      </c>
      <c r="G160" s="531">
        <f>E160*F160</f>
        <v>728700000</v>
      </c>
      <c r="I160" s="416"/>
      <c r="J160" s="417"/>
      <c r="K160" s="418"/>
      <c r="L160" s="419"/>
      <c r="M160" s="420"/>
      <c r="N160" s="417"/>
      <c r="O160" s="301"/>
      <c r="P160" s="302"/>
      <c r="Q160" s="304"/>
      <c r="R160" s="305"/>
    </row>
    <row r="161" spans="2:18" ht="15" customHeight="1">
      <c r="B161" s="564" t="s">
        <v>217</v>
      </c>
      <c r="C161" s="565"/>
      <c r="D161" s="179" t="s">
        <v>73</v>
      </c>
      <c r="E161" s="577">
        <f>C28</f>
        <v>1324</v>
      </c>
      <c r="F161" s="578">
        <v>60000</v>
      </c>
      <c r="G161" s="531">
        <f t="shared" ref="G161:G168" si="2">E161*F161</f>
        <v>79440000</v>
      </c>
      <c r="I161" s="416"/>
      <c r="J161" s="417"/>
      <c r="K161" s="418"/>
      <c r="L161" s="419"/>
      <c r="M161" s="420"/>
      <c r="N161" s="417"/>
      <c r="O161" s="301"/>
      <c r="P161" s="302"/>
      <c r="Q161" s="304"/>
      <c r="R161" s="305"/>
    </row>
    <row r="162" spans="2:18" ht="15" customHeight="1">
      <c r="B162" s="564" t="s">
        <v>86</v>
      </c>
      <c r="C162" s="199"/>
      <c r="D162" s="179" t="s">
        <v>73</v>
      </c>
      <c r="E162" s="577">
        <f>C27</f>
        <v>0</v>
      </c>
      <c r="F162" s="578">
        <v>0</v>
      </c>
      <c r="G162" s="531">
        <f t="shared" si="2"/>
        <v>0</v>
      </c>
      <c r="I162" s="416"/>
      <c r="J162" s="417"/>
      <c r="K162" s="418"/>
      <c r="L162" s="419"/>
      <c r="M162" s="420"/>
      <c r="N162" s="417"/>
      <c r="O162" s="301"/>
      <c r="P162" s="302"/>
      <c r="Q162" s="304"/>
      <c r="R162" s="305"/>
    </row>
    <row r="163" spans="2:18" ht="15" customHeight="1">
      <c r="B163" s="564" t="s">
        <v>86</v>
      </c>
      <c r="C163" s="199"/>
      <c r="D163" s="179"/>
      <c r="E163" s="577">
        <f>C28</f>
        <v>1324</v>
      </c>
      <c r="F163" s="578">
        <v>0</v>
      </c>
      <c r="G163" s="531">
        <f t="shared" si="2"/>
        <v>0</v>
      </c>
      <c r="I163" s="416"/>
      <c r="J163" s="417"/>
      <c r="K163" s="418"/>
      <c r="L163" s="419"/>
      <c r="M163" s="420"/>
      <c r="N163" s="417"/>
      <c r="O163" s="301"/>
      <c r="P163" s="302"/>
      <c r="Q163" s="304"/>
      <c r="R163" s="305"/>
    </row>
    <row r="164" spans="2:18" ht="15" customHeight="1">
      <c r="B164" s="564" t="s">
        <v>218</v>
      </c>
      <c r="C164" s="199"/>
      <c r="D164" s="179" t="s">
        <v>73</v>
      </c>
      <c r="E164" s="577">
        <f>C29</f>
        <v>0</v>
      </c>
      <c r="F164" s="578">
        <v>0</v>
      </c>
      <c r="G164" s="531">
        <f t="shared" si="2"/>
        <v>0</v>
      </c>
      <c r="I164" s="416"/>
      <c r="J164" s="417"/>
      <c r="K164" s="418"/>
      <c r="L164" s="419"/>
      <c r="M164" s="420"/>
      <c r="N164" s="417"/>
      <c r="O164" s="301"/>
      <c r="P164" s="302"/>
      <c r="Q164" s="304"/>
      <c r="R164" s="305"/>
    </row>
    <row r="165" spans="2:18" ht="15" customHeight="1">
      <c r="B165" s="564" t="s">
        <v>219</v>
      </c>
      <c r="C165" s="199"/>
      <c r="D165" s="179" t="s">
        <v>73</v>
      </c>
      <c r="E165" s="577">
        <f>C30</f>
        <v>0</v>
      </c>
      <c r="F165" s="578">
        <v>0</v>
      </c>
      <c r="G165" s="531">
        <f t="shared" si="2"/>
        <v>0</v>
      </c>
      <c r="I165" s="416"/>
      <c r="J165" s="417"/>
      <c r="K165" s="418"/>
      <c r="L165" s="419"/>
      <c r="M165" s="420"/>
      <c r="N165" s="417"/>
      <c r="O165" s="301"/>
      <c r="P165" s="302"/>
      <c r="Q165" s="304"/>
      <c r="R165" s="305"/>
    </row>
    <row r="166" spans="2:18" ht="15" customHeight="1">
      <c r="B166" s="564" t="s">
        <v>220</v>
      </c>
      <c r="C166" s="199"/>
      <c r="D166" s="179" t="s">
        <v>91</v>
      </c>
      <c r="E166" s="577">
        <f>C31</f>
        <v>0</v>
      </c>
      <c r="F166" s="578">
        <v>0</v>
      </c>
      <c r="G166" s="531">
        <f t="shared" si="2"/>
        <v>0</v>
      </c>
      <c r="I166" s="416"/>
      <c r="J166" s="417"/>
      <c r="K166" s="418"/>
      <c r="L166" s="419"/>
      <c r="M166" s="420"/>
      <c r="N166" s="417"/>
      <c r="O166" s="301"/>
      <c r="P166" s="302"/>
      <c r="Q166" s="304"/>
      <c r="R166" s="305"/>
    </row>
    <row r="167" spans="2:18" ht="15" customHeight="1">
      <c r="B167" s="564" t="s">
        <v>221</v>
      </c>
      <c r="C167" s="199"/>
      <c r="D167" s="179" t="s">
        <v>91</v>
      </c>
      <c r="E167" s="577">
        <f>C33</f>
        <v>120</v>
      </c>
      <c r="F167" s="578">
        <v>450000</v>
      </c>
      <c r="G167" s="531">
        <f t="shared" si="2"/>
        <v>54000000</v>
      </c>
      <c r="I167" s="416"/>
      <c r="J167" s="417"/>
      <c r="K167" s="418"/>
      <c r="L167" s="419"/>
      <c r="M167" s="420"/>
      <c r="N167" s="417"/>
      <c r="O167" s="301"/>
      <c r="P167" s="302"/>
      <c r="Q167" s="304"/>
      <c r="R167" s="305"/>
    </row>
    <row r="168" spans="2:18" ht="15" customHeight="1">
      <c r="B168" s="564" t="s">
        <v>95</v>
      </c>
      <c r="C168" s="199"/>
      <c r="D168" s="179" t="s">
        <v>91</v>
      </c>
      <c r="E168" s="577">
        <f>+C34</f>
        <v>0</v>
      </c>
      <c r="F168" s="578">
        <v>0</v>
      </c>
      <c r="G168" s="531">
        <f t="shared" si="2"/>
        <v>0</v>
      </c>
      <c r="I168" s="416"/>
      <c r="J168" s="417"/>
      <c r="K168" s="418"/>
      <c r="L168" s="419"/>
      <c r="M168" s="420"/>
      <c r="N168" s="417"/>
      <c r="O168" s="301"/>
      <c r="P168" s="302"/>
      <c r="Q168" s="304"/>
      <c r="R168" s="305"/>
    </row>
    <row r="169" spans="2:18" ht="15" customHeight="1">
      <c r="B169" s="568"/>
      <c r="C169" s="569"/>
      <c r="D169" s="329"/>
      <c r="E169" s="570"/>
      <c r="F169" s="571"/>
      <c r="G169" s="572">
        <f>SUM(G160:G168)</f>
        <v>862140000</v>
      </c>
      <c r="I169" s="416"/>
      <c r="J169" s="417"/>
      <c r="K169" s="418"/>
      <c r="L169" s="419"/>
      <c r="M169" s="420"/>
      <c r="N169" s="417"/>
      <c r="O169" s="301"/>
      <c r="P169" s="302"/>
      <c r="Q169" s="304"/>
      <c r="R169" s="305"/>
    </row>
    <row r="170" spans="2:18" ht="15" customHeight="1">
      <c r="B170" s="579"/>
      <c r="C170" s="580"/>
      <c r="D170" s="344"/>
      <c r="E170" s="581"/>
      <c r="F170" s="582"/>
      <c r="G170" s="583"/>
      <c r="I170" s="416"/>
      <c r="J170" s="417"/>
      <c r="K170" s="418"/>
      <c r="L170" s="419"/>
      <c r="M170" s="420"/>
      <c r="N170" s="417"/>
      <c r="O170" s="301"/>
      <c r="P170" s="302"/>
      <c r="Q170" s="304"/>
      <c r="R170" s="305"/>
    </row>
    <row r="171" spans="2:18" ht="15" customHeight="1">
      <c r="B171" s="579"/>
      <c r="C171" s="580"/>
      <c r="D171" s="344"/>
      <c r="E171" s="584"/>
      <c r="F171" s="585" t="s">
        <v>222</v>
      </c>
      <c r="G171" s="586">
        <f>(G158+G169)/2</f>
        <v>897538624.92765629</v>
      </c>
      <c r="I171" s="416"/>
      <c r="J171" s="417"/>
      <c r="K171" s="418"/>
      <c r="L171" s="419"/>
      <c r="M171" s="420"/>
      <c r="N171" s="417">
        <f>G171/4-150000000</f>
        <v>74384656.231914073</v>
      </c>
      <c r="O171" s="587">
        <f>G171/4</f>
        <v>224384656.23191407</v>
      </c>
      <c r="P171" s="588">
        <f>G171/4</f>
        <v>224384656.23191407</v>
      </c>
      <c r="Q171" s="589">
        <f>G171/4</f>
        <v>224384656.23191407</v>
      </c>
      <c r="R171" s="590">
        <f>G171-SUM(N171:Q171)</f>
        <v>150000000</v>
      </c>
    </row>
    <row r="172" spans="2:18" ht="15" customHeight="1">
      <c r="B172" s="579"/>
      <c r="C172" s="580"/>
      <c r="D172" s="344"/>
      <c r="E172" s="584"/>
      <c r="F172" s="585"/>
      <c r="G172" s="591"/>
      <c r="I172" s="416"/>
      <c r="J172" s="417"/>
      <c r="K172" s="418"/>
      <c r="L172" s="419"/>
      <c r="M172" s="420"/>
      <c r="N172" s="417"/>
      <c r="O172" s="301"/>
      <c r="P172" s="302"/>
      <c r="Q172" s="304"/>
      <c r="R172" s="305"/>
    </row>
    <row r="173" spans="2:18" ht="15" customHeight="1">
      <c r="B173" s="519" t="s">
        <v>223</v>
      </c>
      <c r="C173" s="520"/>
      <c r="D173" s="295"/>
      <c r="E173" s="521"/>
      <c r="F173" s="522"/>
      <c r="G173" s="592"/>
      <c r="I173" s="416"/>
      <c r="J173" s="417"/>
      <c r="K173" s="418"/>
      <c r="L173" s="419"/>
      <c r="M173" s="420"/>
      <c r="N173" s="417"/>
      <c r="O173" s="301"/>
      <c r="P173" s="302"/>
      <c r="Q173" s="304"/>
      <c r="R173" s="305"/>
    </row>
    <row r="174" spans="2:18" ht="15" customHeight="1">
      <c r="B174" s="593" t="s">
        <v>224</v>
      </c>
      <c r="C174" s="529" t="s">
        <v>225</v>
      </c>
      <c r="D174" s="443" t="s">
        <v>207</v>
      </c>
      <c r="E174" s="180">
        <v>0</v>
      </c>
      <c r="F174" s="578">
        <v>0</v>
      </c>
      <c r="G174" s="531">
        <v>7000000</v>
      </c>
      <c r="I174" s="416"/>
      <c r="J174" s="417"/>
      <c r="K174" s="418"/>
      <c r="L174" s="419"/>
      <c r="M174" s="420"/>
      <c r="N174" s="417"/>
      <c r="O174" s="301"/>
      <c r="P174" s="302"/>
      <c r="Q174" s="589">
        <f>G174</f>
        <v>7000000</v>
      </c>
      <c r="R174" s="305"/>
    </row>
    <row r="175" spans="2:18" ht="15" customHeight="1">
      <c r="B175" s="593" t="s">
        <v>226</v>
      </c>
      <c r="C175" s="529" t="s">
        <v>227</v>
      </c>
      <c r="D175" s="443" t="s">
        <v>207</v>
      </c>
      <c r="E175" s="180">
        <v>0</v>
      </c>
      <c r="F175" s="578">
        <v>0</v>
      </c>
      <c r="G175" s="531">
        <v>3000000</v>
      </c>
      <c r="I175" s="416"/>
      <c r="J175" s="417"/>
      <c r="K175" s="418"/>
      <c r="L175" s="419"/>
      <c r="M175" s="420"/>
      <c r="N175" s="417"/>
      <c r="O175" s="301"/>
      <c r="P175" s="302"/>
      <c r="Q175" s="589">
        <f>G175</f>
        <v>3000000</v>
      </c>
      <c r="R175" s="305"/>
    </row>
    <row r="176" spans="2:18" ht="15" customHeight="1">
      <c r="B176" s="568"/>
      <c r="C176" s="569"/>
      <c r="D176" s="541" t="s">
        <v>3</v>
      </c>
      <c r="E176" s="594" t="s">
        <v>3</v>
      </c>
      <c r="F176" s="571"/>
      <c r="G176" s="595">
        <f>SUM(G174:G175)</f>
        <v>10000000</v>
      </c>
      <c r="I176" s="416"/>
      <c r="J176" s="417"/>
      <c r="K176" s="418"/>
      <c r="L176" s="419"/>
      <c r="M176" s="420"/>
      <c r="N176" s="417"/>
      <c r="O176" s="301"/>
      <c r="P176" s="302"/>
      <c r="Q176" s="304"/>
      <c r="R176" s="305"/>
    </row>
    <row r="177" spans="2:25" ht="15" customHeight="1">
      <c r="B177" s="596"/>
      <c r="C177" s="550"/>
      <c r="D177" s="597"/>
      <c r="E177" s="598"/>
      <c r="F177" s="599"/>
      <c r="G177" s="600"/>
      <c r="I177" s="416"/>
      <c r="J177" s="417"/>
      <c r="K177" s="418"/>
      <c r="L177" s="419"/>
      <c r="M177" s="420"/>
      <c r="N177" s="417"/>
      <c r="O177" s="301"/>
      <c r="P177" s="302"/>
      <c r="Q177" s="304"/>
      <c r="R177" s="305"/>
    </row>
    <row r="178" spans="2:25" ht="15" customHeight="1">
      <c r="B178" s="601" t="s">
        <v>228</v>
      </c>
      <c r="C178" s="550"/>
      <c r="D178" s="597" t="s">
        <v>229</v>
      </c>
      <c r="E178" s="602">
        <v>1.4999999999999999E-2</v>
      </c>
      <c r="F178" s="599">
        <f>G152+G171+G176</f>
        <v>915538624.92765629</v>
      </c>
      <c r="G178" s="603">
        <f>F178*E178</f>
        <v>13733079.373914843</v>
      </c>
      <c r="I178" s="416"/>
      <c r="J178" s="417"/>
      <c r="K178" s="418"/>
      <c r="L178" s="419"/>
      <c r="M178" s="420"/>
      <c r="N178" s="417">
        <f>G178/4</f>
        <v>3433269.8434787109</v>
      </c>
      <c r="O178" s="587">
        <f>G178/4</f>
        <v>3433269.8434787109</v>
      </c>
      <c r="P178" s="588">
        <f>G178/4</f>
        <v>3433269.8434787109</v>
      </c>
      <c r="Q178" s="589">
        <f>G178/4</f>
        <v>3433269.8434787109</v>
      </c>
      <c r="R178" s="305"/>
    </row>
    <row r="179" spans="2:25" ht="15" customHeight="1">
      <c r="B179" s="601"/>
      <c r="C179" s="550"/>
      <c r="D179" s="597"/>
      <c r="E179" s="602"/>
      <c r="F179" s="604"/>
      <c r="G179" s="605"/>
      <c r="I179" s="416"/>
      <c r="J179" s="417"/>
      <c r="K179" s="418"/>
      <c r="L179" s="419"/>
      <c r="M179" s="420"/>
      <c r="N179" s="417"/>
      <c r="O179" s="301"/>
      <c r="P179" s="302"/>
      <c r="Q179" s="304"/>
      <c r="R179" s="305"/>
    </row>
    <row r="180" spans="2:25" ht="15" customHeight="1">
      <c r="B180" s="445" t="s">
        <v>230</v>
      </c>
      <c r="C180" s="446"/>
      <c r="D180" s="447"/>
      <c r="E180" s="448"/>
      <c r="F180" s="449"/>
      <c r="G180" s="606">
        <f>G178+G176+G171+G152</f>
        <v>929271704.30157113</v>
      </c>
      <c r="I180" s="416"/>
      <c r="J180" s="417"/>
      <c r="K180" s="418"/>
      <c r="L180" s="419"/>
      <c r="M180" s="420"/>
      <c r="N180" s="417"/>
      <c r="O180" s="301"/>
      <c r="P180" s="302"/>
      <c r="Q180" s="304"/>
      <c r="R180" s="305"/>
    </row>
    <row r="181" spans="2:25" ht="15" customHeight="1">
      <c r="B181" s="607"/>
      <c r="C181" s="608"/>
      <c r="D181" s="515"/>
      <c r="E181" s="609" t="s">
        <v>154</v>
      </c>
      <c r="F181" s="610" t="s">
        <v>83</v>
      </c>
      <c r="G181" s="611">
        <f>G180/C35</f>
        <v>79194.793276084121</v>
      </c>
      <c r="I181" s="416"/>
      <c r="J181" s="417"/>
      <c r="K181" s="418"/>
      <c r="L181" s="419"/>
      <c r="M181" s="420"/>
      <c r="N181" s="417"/>
      <c r="O181" s="301"/>
      <c r="P181" s="302"/>
      <c r="Q181" s="304"/>
      <c r="R181" s="305"/>
    </row>
    <row r="182" spans="2:25" ht="15" customHeight="1">
      <c r="B182" s="612"/>
      <c r="C182" s="580"/>
      <c r="D182" s="344"/>
      <c r="E182" s="348"/>
      <c r="F182" s="613" t="s">
        <v>84</v>
      </c>
      <c r="G182" s="614">
        <f>G180/C14</f>
        <v>59817.940412074102</v>
      </c>
      <c r="I182" s="416"/>
      <c r="J182" s="417"/>
      <c r="K182" s="418"/>
      <c r="L182" s="419"/>
      <c r="M182" s="420"/>
      <c r="N182" s="417"/>
      <c r="O182" s="301"/>
      <c r="P182" s="302"/>
      <c r="Q182" s="304"/>
      <c r="R182" s="305"/>
    </row>
    <row r="183" spans="2:25" ht="15" customHeight="1">
      <c r="B183" s="612"/>
      <c r="C183" s="580"/>
      <c r="D183" s="344"/>
      <c r="E183" s="348"/>
      <c r="F183" s="613" t="s">
        <v>231</v>
      </c>
      <c r="G183" s="614">
        <f>G180/(C19)</f>
        <v>11425.764443972328</v>
      </c>
      <c r="I183" s="416"/>
      <c r="J183" s="417"/>
      <c r="K183" s="418"/>
      <c r="L183" s="419"/>
      <c r="M183" s="420"/>
      <c r="N183" s="417"/>
      <c r="O183" s="301"/>
      <c r="P183" s="302"/>
      <c r="Q183" s="304"/>
      <c r="R183" s="305"/>
    </row>
    <row r="184" spans="2:25" ht="15" customHeight="1">
      <c r="B184" s="596"/>
      <c r="C184" s="550"/>
      <c r="D184" s="551"/>
      <c r="E184" s="615"/>
      <c r="F184" s="616" t="s">
        <v>155</v>
      </c>
      <c r="G184" s="617">
        <f>G180/G303</f>
        <v>0.45645165162537416</v>
      </c>
      <c r="I184" s="416"/>
      <c r="J184" s="417"/>
      <c r="K184" s="418"/>
      <c r="L184" s="419"/>
      <c r="M184" s="420"/>
      <c r="N184" s="417"/>
      <c r="O184" s="301"/>
      <c r="P184" s="302"/>
      <c r="Q184" s="304"/>
      <c r="R184" s="305"/>
    </row>
    <row r="185" spans="2:25" ht="15" customHeight="1">
      <c r="B185" s="612"/>
      <c r="C185" s="580"/>
      <c r="D185" s="344"/>
      <c r="E185" s="581"/>
      <c r="F185" s="582"/>
      <c r="G185" s="618"/>
      <c r="I185" s="416"/>
      <c r="J185" s="417"/>
      <c r="K185" s="418"/>
      <c r="L185" s="419"/>
      <c r="M185" s="420"/>
      <c r="N185" s="417"/>
      <c r="O185" s="301"/>
      <c r="P185" s="302"/>
      <c r="Q185" s="304"/>
      <c r="R185" s="305"/>
    </row>
    <row r="186" spans="2:25" ht="15" customHeight="1">
      <c r="B186" s="619" t="s">
        <v>232</v>
      </c>
      <c r="C186" s="620"/>
      <c r="D186" s="621"/>
      <c r="E186" s="622"/>
      <c r="F186" s="623"/>
      <c r="G186" s="624"/>
      <c r="I186" s="416"/>
      <c r="J186" s="417"/>
      <c r="K186" s="418"/>
      <c r="L186" s="419"/>
      <c r="M186" s="420"/>
      <c r="N186" s="417"/>
      <c r="O186" s="301"/>
      <c r="P186" s="302"/>
      <c r="Q186" s="304"/>
      <c r="R186" s="305"/>
    </row>
    <row r="187" spans="2:25" ht="15" customHeight="1">
      <c r="B187" s="625" t="s">
        <v>233</v>
      </c>
      <c r="C187" s="537"/>
      <c r="D187" s="626" t="s">
        <v>229</v>
      </c>
      <c r="E187" s="627">
        <v>0.05</v>
      </c>
      <c r="F187" s="578">
        <f>G176+G171+G152</f>
        <v>915538624.92765629</v>
      </c>
      <c r="G187" s="628">
        <f>E187*F187</f>
        <v>45776931.246382818</v>
      </c>
      <c r="H187" s="141" t="s">
        <v>3</v>
      </c>
      <c r="I187" s="416"/>
      <c r="J187" s="417"/>
      <c r="K187" s="418"/>
      <c r="L187" s="419"/>
      <c r="M187" s="420"/>
      <c r="N187" s="417"/>
      <c r="O187" s="629"/>
      <c r="P187" s="630"/>
      <c r="Q187" s="589">
        <f>G187</f>
        <v>45776931.246382818</v>
      </c>
      <c r="R187" s="631"/>
      <c r="S187" s="632"/>
      <c r="T187" s="632"/>
      <c r="U187" s="632"/>
      <c r="V187" s="632"/>
      <c r="W187" s="632"/>
      <c r="X187" s="632"/>
      <c r="Y187" s="632"/>
    </row>
    <row r="188" spans="2:25" ht="15" customHeight="1">
      <c r="B188" s="633" t="s">
        <v>234</v>
      </c>
      <c r="C188" s="569"/>
      <c r="D188" s="634" t="s">
        <v>229</v>
      </c>
      <c r="E188" s="635">
        <v>0.05</v>
      </c>
      <c r="F188" s="571">
        <f>G152+G171+G176</f>
        <v>915538624.92765629</v>
      </c>
      <c r="G188" s="636">
        <f>F188*E188</f>
        <v>45776931.246382818</v>
      </c>
      <c r="I188" s="416"/>
      <c r="J188" s="417"/>
      <c r="K188" s="418"/>
      <c r="L188" s="419"/>
      <c r="M188" s="420"/>
      <c r="N188" s="417"/>
      <c r="O188" s="629"/>
      <c r="P188" s="630"/>
      <c r="Q188" s="589">
        <f>G188</f>
        <v>45776931.246382818</v>
      </c>
      <c r="R188" s="631"/>
      <c r="S188" s="632"/>
      <c r="T188" s="632"/>
      <c r="U188" s="632"/>
      <c r="V188" s="632"/>
      <c r="W188" s="632"/>
      <c r="X188" s="632"/>
      <c r="Y188" s="632"/>
    </row>
    <row r="189" spans="2:25" ht="15" customHeight="1">
      <c r="B189" s="637"/>
      <c r="C189" s="638"/>
      <c r="D189" s="639"/>
      <c r="E189" s="640"/>
      <c r="F189" s="641"/>
      <c r="G189" s="642"/>
      <c r="I189" s="416"/>
      <c r="J189" s="417"/>
      <c r="K189" s="418"/>
      <c r="L189" s="419"/>
      <c r="M189" s="420"/>
      <c r="N189" s="417"/>
      <c r="O189" s="629"/>
      <c r="P189" s="630"/>
      <c r="Q189" s="643"/>
      <c r="R189" s="631"/>
      <c r="S189" s="632"/>
      <c r="T189" s="632"/>
      <c r="U189" s="632"/>
      <c r="V189" s="632"/>
      <c r="W189" s="632"/>
      <c r="X189" s="632"/>
      <c r="Y189" s="632"/>
    </row>
    <row r="190" spans="2:25" ht="15" customHeight="1">
      <c r="B190" s="445" t="s">
        <v>235</v>
      </c>
      <c r="C190" s="446"/>
      <c r="D190" s="447"/>
      <c r="E190" s="448"/>
      <c r="F190" s="449"/>
      <c r="G190" s="450">
        <f>SUM(G187:G188)</f>
        <v>91553862.492765635</v>
      </c>
      <c r="I190" s="416"/>
      <c r="J190" s="417"/>
      <c r="K190" s="418"/>
      <c r="L190" s="419"/>
      <c r="M190" s="420"/>
      <c r="N190" s="417"/>
      <c r="O190" s="629"/>
      <c r="P190" s="630"/>
      <c r="Q190" s="643"/>
      <c r="R190" s="631"/>
      <c r="S190" s="632"/>
      <c r="T190" s="632"/>
      <c r="U190" s="632"/>
      <c r="V190" s="632"/>
      <c r="W190" s="632"/>
      <c r="X190" s="632"/>
      <c r="Y190" s="632"/>
    </row>
    <row r="191" spans="2:25" ht="15" customHeight="1">
      <c r="B191" s="644"/>
      <c r="D191" s="645"/>
      <c r="E191" s="646"/>
      <c r="F191" s="647"/>
      <c r="G191" s="553"/>
      <c r="I191" s="416"/>
      <c r="J191" s="417"/>
      <c r="K191" s="418"/>
      <c r="L191" s="419"/>
      <c r="M191" s="420"/>
      <c r="N191" s="417"/>
      <c r="O191" s="629"/>
      <c r="P191" s="630"/>
      <c r="Q191" s="643"/>
      <c r="R191" s="631"/>
      <c r="S191" s="632"/>
      <c r="T191" s="632"/>
      <c r="U191" s="632"/>
      <c r="V191" s="632"/>
      <c r="W191" s="632"/>
      <c r="X191" s="632"/>
      <c r="Y191" s="632"/>
    </row>
    <row r="192" spans="2:25" ht="15" customHeight="1">
      <c r="B192" s="619" t="s">
        <v>236</v>
      </c>
      <c r="C192" s="620"/>
      <c r="D192" s="621"/>
      <c r="E192" s="622"/>
      <c r="F192" s="623"/>
      <c r="G192" s="624"/>
      <c r="I192" s="416"/>
      <c r="J192" s="417"/>
      <c r="K192" s="418"/>
      <c r="L192" s="419"/>
      <c r="M192" s="420"/>
      <c r="N192" s="417"/>
      <c r="O192" s="629"/>
      <c r="P192" s="630"/>
      <c r="Q192" s="643"/>
      <c r="R192" s="631"/>
      <c r="S192" s="632"/>
      <c r="T192" s="632"/>
      <c r="U192" s="632"/>
      <c r="V192" s="632"/>
      <c r="W192" s="632"/>
      <c r="X192" s="632"/>
      <c r="Y192" s="632"/>
    </row>
    <row r="193" spans="2:18" ht="15" customHeight="1">
      <c r="B193" s="648" t="s">
        <v>237</v>
      </c>
      <c r="C193" s="649" t="s">
        <v>238</v>
      </c>
      <c r="D193" s="650" t="s">
        <v>229</v>
      </c>
      <c r="E193" s="651">
        <v>0.05</v>
      </c>
      <c r="F193" s="652">
        <f>G180</f>
        <v>929271704.30157113</v>
      </c>
      <c r="G193" s="653">
        <f>F193*E193</f>
        <v>46463585.215078562</v>
      </c>
      <c r="I193" s="416"/>
      <c r="J193" s="417"/>
      <c r="K193" s="418"/>
      <c r="L193" s="419"/>
      <c r="M193" s="420"/>
      <c r="N193" s="417">
        <f>G193/4</f>
        <v>11615896.303769641</v>
      </c>
      <c r="O193" s="418">
        <f>G193/4</f>
        <v>11615896.303769641</v>
      </c>
      <c r="P193" s="588">
        <f>G193/4</f>
        <v>11615896.303769641</v>
      </c>
      <c r="Q193" s="589">
        <f>G193/4</f>
        <v>11615896.303769641</v>
      </c>
      <c r="R193" s="305"/>
    </row>
    <row r="194" spans="2:18" ht="15" customHeight="1">
      <c r="B194" s="654"/>
      <c r="C194" s="655"/>
      <c r="D194" s="656"/>
      <c r="E194" s="657"/>
      <c r="F194" s="658"/>
      <c r="G194" s="491"/>
      <c r="I194" s="416"/>
      <c r="J194" s="417"/>
      <c r="K194" s="418"/>
      <c r="L194" s="419"/>
      <c r="M194" s="420"/>
      <c r="N194" s="417"/>
      <c r="O194" s="301"/>
      <c r="P194" s="302"/>
      <c r="Q194" s="304"/>
      <c r="R194" s="305"/>
    </row>
    <row r="195" spans="2:18" ht="15" customHeight="1">
      <c r="B195" s="445" t="s">
        <v>239</v>
      </c>
      <c r="C195" s="446"/>
      <c r="D195" s="447"/>
      <c r="E195" s="448"/>
      <c r="F195" s="449"/>
      <c r="G195" s="450">
        <f>SUM(G193:G194)</f>
        <v>46463585.215078562</v>
      </c>
      <c r="I195" s="416"/>
      <c r="J195" s="417"/>
      <c r="K195" s="418"/>
      <c r="L195" s="419"/>
      <c r="M195" s="420"/>
      <c r="N195" s="417"/>
      <c r="O195" s="301"/>
      <c r="P195" s="302"/>
      <c r="Q195" s="304"/>
      <c r="R195" s="305"/>
    </row>
    <row r="196" spans="2:18" ht="15" customHeight="1">
      <c r="B196" s="659"/>
      <c r="C196" s="660"/>
      <c r="D196" s="661"/>
      <c r="E196" s="662"/>
      <c r="F196" s="663"/>
      <c r="G196" s="664"/>
      <c r="I196" s="416"/>
      <c r="J196" s="417"/>
      <c r="K196" s="418"/>
      <c r="L196" s="419"/>
      <c r="M196" s="420"/>
      <c r="N196" s="417"/>
      <c r="O196" s="301"/>
      <c r="P196" s="302"/>
      <c r="Q196" s="304"/>
      <c r="R196" s="305"/>
    </row>
    <row r="197" spans="2:18" ht="15" customHeight="1">
      <c r="B197" s="596"/>
      <c r="C197" s="550"/>
      <c r="D197" s="551" t="s">
        <v>3</v>
      </c>
      <c r="E197" s="552" t="s">
        <v>5</v>
      </c>
      <c r="F197" s="552"/>
      <c r="G197" s="665"/>
      <c r="I197" s="416"/>
      <c r="J197" s="417"/>
      <c r="K197" s="418"/>
      <c r="L197" s="419"/>
      <c r="M197" s="420"/>
      <c r="N197" s="417"/>
      <c r="O197" s="301"/>
      <c r="P197" s="302"/>
      <c r="Q197" s="304"/>
      <c r="R197" s="305"/>
    </row>
    <row r="198" spans="2:18" ht="15" customHeight="1">
      <c r="B198" s="508" t="s">
        <v>240</v>
      </c>
      <c r="C198" s="509"/>
      <c r="D198" s="510"/>
      <c r="E198" s="511"/>
      <c r="F198" s="512"/>
      <c r="G198" s="338">
        <f>G180+G190+G195</f>
        <v>1067289152.0094154</v>
      </c>
      <c r="H198" s="149"/>
      <c r="I198" s="416"/>
      <c r="J198" s="417"/>
      <c r="K198" s="418"/>
      <c r="L198" s="419"/>
      <c r="M198" s="420"/>
      <c r="N198" s="417"/>
      <c r="O198" s="301"/>
      <c r="P198" s="302"/>
      <c r="Q198" s="304"/>
      <c r="R198" s="305"/>
    </row>
    <row r="199" spans="2:18" ht="15" customHeight="1">
      <c r="B199" s="607"/>
      <c r="C199" s="608"/>
      <c r="D199" s="515"/>
      <c r="E199" s="516" t="s">
        <v>154</v>
      </c>
      <c r="F199" s="517" t="s">
        <v>83</v>
      </c>
      <c r="G199" s="611">
        <f>G198/(C25+C26+C27+C28)</f>
        <v>90956.975627187261</v>
      </c>
      <c r="I199" s="666"/>
      <c r="J199" s="536"/>
      <c r="K199" s="587"/>
      <c r="L199" s="588"/>
      <c r="M199" s="589"/>
      <c r="N199" s="536"/>
      <c r="O199" s="301"/>
      <c r="P199" s="302"/>
      <c r="Q199" s="304"/>
      <c r="R199" s="305"/>
    </row>
    <row r="200" spans="2:18" ht="15" customHeight="1">
      <c r="B200" s="612"/>
      <c r="C200" s="580"/>
      <c r="D200" s="344"/>
      <c r="E200" s="348"/>
      <c r="F200" s="346" t="s">
        <v>84</v>
      </c>
      <c r="G200" s="614">
        <f>G198/C16</f>
        <v>68702.230576724513</v>
      </c>
      <c r="I200" s="389"/>
      <c r="J200" s="390"/>
      <c r="K200" s="391"/>
      <c r="L200" s="392"/>
      <c r="M200" s="667"/>
      <c r="N200" s="668"/>
      <c r="O200" s="301"/>
      <c r="P200" s="302"/>
      <c r="Q200" s="304"/>
      <c r="R200" s="305"/>
    </row>
    <row r="201" spans="2:18" ht="15" customHeight="1">
      <c r="B201" s="612"/>
      <c r="C201" s="580"/>
      <c r="D201" s="344"/>
      <c r="E201" s="348"/>
      <c r="F201" s="346" t="s">
        <v>231</v>
      </c>
      <c r="G201" s="614">
        <f>G198/(C21+C22)</f>
        <v>13122.74374439482</v>
      </c>
      <c r="I201" s="389"/>
      <c r="J201" s="390"/>
      <c r="K201" s="391"/>
      <c r="L201" s="392"/>
      <c r="M201" s="408"/>
      <c r="N201" s="390"/>
      <c r="O201" s="301"/>
      <c r="P201" s="302"/>
      <c r="Q201" s="304"/>
      <c r="R201" s="305"/>
    </row>
    <row r="202" spans="2:18" ht="15" customHeight="1" thickBot="1">
      <c r="B202" s="669"/>
      <c r="C202" s="670"/>
      <c r="D202" s="351"/>
      <c r="E202" s="352"/>
      <c r="F202" s="353" t="s">
        <v>155</v>
      </c>
      <c r="G202" s="671">
        <f>G198/G303</f>
        <v>0.52424484027810836</v>
      </c>
      <c r="I202" s="672"/>
      <c r="J202" s="673"/>
      <c r="K202" s="674"/>
      <c r="L202" s="675"/>
      <c r="M202" s="676"/>
      <c r="N202" s="673"/>
      <c r="O202" s="357"/>
      <c r="P202" s="358"/>
      <c r="Q202" s="360"/>
      <c r="R202" s="361"/>
    </row>
    <row r="203" spans="2:18" ht="20" customHeight="1" thickBot="1">
      <c r="B203" s="677"/>
      <c r="C203" s="580"/>
      <c r="D203" s="344"/>
      <c r="E203" s="678"/>
      <c r="F203" s="678"/>
      <c r="G203" s="409"/>
      <c r="H203" s="679"/>
      <c r="I203" s="363"/>
      <c r="J203" s="364"/>
      <c r="K203" s="365"/>
      <c r="L203" s="366"/>
      <c r="M203" s="367"/>
      <c r="N203" s="364"/>
      <c r="O203" s="365"/>
      <c r="P203" s="366"/>
      <c r="Q203" s="368"/>
      <c r="R203" s="369"/>
    </row>
    <row r="204" spans="2:18" ht="15" customHeight="1">
      <c r="B204" s="286" t="s">
        <v>241</v>
      </c>
      <c r="C204" s="287"/>
      <c r="D204" s="287"/>
      <c r="E204" s="287"/>
      <c r="F204" s="287"/>
      <c r="G204" s="412"/>
      <c r="I204" s="680"/>
      <c r="J204" s="681"/>
      <c r="K204" s="682"/>
      <c r="L204" s="683"/>
      <c r="M204" s="684"/>
      <c r="N204" s="681"/>
      <c r="O204" s="378"/>
      <c r="P204" s="379"/>
      <c r="Q204" s="381"/>
      <c r="R204" s="382"/>
    </row>
    <row r="205" spans="2:18" ht="15" customHeight="1">
      <c r="B205" s="685" t="s">
        <v>242</v>
      </c>
      <c r="C205" s="384" t="s">
        <v>243</v>
      </c>
      <c r="D205" s="686" t="s">
        <v>229</v>
      </c>
      <c r="E205" s="687">
        <v>0.02</v>
      </c>
      <c r="F205" s="688">
        <f>G198</f>
        <v>1067289152.0094154</v>
      </c>
      <c r="G205" s="689">
        <f>E205*F205</f>
        <v>21345783.040188309</v>
      </c>
      <c r="H205" s="219"/>
      <c r="I205" s="416"/>
      <c r="J205" s="417"/>
      <c r="K205" s="418"/>
      <c r="L205" s="419"/>
      <c r="M205" s="420"/>
      <c r="N205" s="417">
        <f>G205/4</f>
        <v>5336445.7600470772</v>
      </c>
      <c r="O205" s="587">
        <f>G205/4</f>
        <v>5336445.7600470772</v>
      </c>
      <c r="P205" s="588">
        <f>G205/4</f>
        <v>5336445.7600470772</v>
      </c>
      <c r="Q205" s="589">
        <f>G205/4</f>
        <v>5336445.7600470772</v>
      </c>
      <c r="R205" s="305"/>
    </row>
    <row r="206" spans="2:18" ht="15" customHeight="1">
      <c r="B206" s="593" t="s">
        <v>244</v>
      </c>
      <c r="C206" s="307"/>
      <c r="D206" s="443" t="s">
        <v>245</v>
      </c>
      <c r="E206" s="180">
        <v>24</v>
      </c>
      <c r="F206" s="578">
        <v>30000</v>
      </c>
      <c r="G206" s="531">
        <f>E206*F206</f>
        <v>720000</v>
      </c>
      <c r="I206" s="416"/>
      <c r="J206" s="417"/>
      <c r="K206" s="418"/>
      <c r="L206" s="419"/>
      <c r="M206" s="420"/>
      <c r="N206" s="417">
        <f>G206/4</f>
        <v>180000</v>
      </c>
      <c r="O206" s="587">
        <f>G206/4</f>
        <v>180000</v>
      </c>
      <c r="P206" s="588">
        <f>G206/4</f>
        <v>180000</v>
      </c>
      <c r="Q206" s="589">
        <f>G206/4</f>
        <v>180000</v>
      </c>
      <c r="R206" s="305"/>
    </row>
    <row r="207" spans="2:18" ht="15" customHeight="1">
      <c r="B207" s="593" t="s">
        <v>246</v>
      </c>
      <c r="C207" s="307" t="s">
        <v>247</v>
      </c>
      <c r="D207" s="443" t="s">
        <v>245</v>
      </c>
      <c r="E207" s="180">
        <v>2</v>
      </c>
      <c r="F207" s="578">
        <v>150000</v>
      </c>
      <c r="G207" s="531">
        <f>E207*F207</f>
        <v>300000</v>
      </c>
      <c r="I207" s="416"/>
      <c r="J207" s="417"/>
      <c r="K207" s="418"/>
      <c r="L207" s="419"/>
      <c r="M207" s="420"/>
      <c r="N207" s="417">
        <f>G207/2</f>
        <v>150000</v>
      </c>
      <c r="O207" s="301"/>
      <c r="P207" s="302"/>
      <c r="Q207" s="589">
        <f>G207/2</f>
        <v>150000</v>
      </c>
      <c r="R207" s="305"/>
    </row>
    <row r="208" spans="2:18" ht="15" customHeight="1">
      <c r="B208" s="593" t="s">
        <v>248</v>
      </c>
      <c r="C208" s="307"/>
      <c r="D208" s="443" t="s">
        <v>229</v>
      </c>
      <c r="E208" s="690"/>
      <c r="F208" s="578">
        <v>0</v>
      </c>
      <c r="G208" s="531">
        <v>500000</v>
      </c>
      <c r="I208" s="416"/>
      <c r="J208" s="417"/>
      <c r="K208" s="418"/>
      <c r="L208" s="419"/>
      <c r="M208" s="420"/>
      <c r="N208" s="417">
        <f>G208/4</f>
        <v>125000</v>
      </c>
      <c r="O208" s="587">
        <f>G208/4</f>
        <v>125000</v>
      </c>
      <c r="P208" s="588">
        <f>G208/4</f>
        <v>125000</v>
      </c>
      <c r="Q208" s="589">
        <f>G208/4</f>
        <v>125000</v>
      </c>
      <c r="R208" s="305"/>
    </row>
    <row r="209" spans="2:18" ht="15" customHeight="1">
      <c r="B209" s="528" t="s">
        <v>249</v>
      </c>
      <c r="C209" s="307"/>
      <c r="D209" s="443" t="s">
        <v>207</v>
      </c>
      <c r="E209" s="691"/>
      <c r="F209" s="578"/>
      <c r="G209" s="531">
        <v>500000</v>
      </c>
      <c r="I209" s="416"/>
      <c r="J209" s="417"/>
      <c r="K209" s="418"/>
      <c r="L209" s="419"/>
      <c r="M209" s="420"/>
      <c r="N209" s="417"/>
      <c r="O209" s="301"/>
      <c r="P209" s="302"/>
      <c r="Q209" s="304"/>
      <c r="R209" s="692">
        <f>G209</f>
        <v>500000</v>
      </c>
    </row>
    <row r="210" spans="2:18" ht="15" customHeight="1">
      <c r="B210" s="593" t="s">
        <v>250</v>
      </c>
      <c r="C210" s="307"/>
      <c r="D210" s="443" t="s">
        <v>207</v>
      </c>
      <c r="E210" s="691"/>
      <c r="F210" s="578"/>
      <c r="G210" s="531">
        <v>2000000</v>
      </c>
      <c r="I210" s="416"/>
      <c r="J210" s="417"/>
      <c r="K210" s="418"/>
      <c r="L210" s="419"/>
      <c r="M210" s="420"/>
      <c r="N210" s="417">
        <f>G210/4</f>
        <v>500000</v>
      </c>
      <c r="O210" s="587">
        <f>G210/4</f>
        <v>500000</v>
      </c>
      <c r="P210" s="588">
        <f>G210/4</f>
        <v>500000</v>
      </c>
      <c r="Q210" s="589">
        <f>G210/4</f>
        <v>500000</v>
      </c>
      <c r="R210" s="305"/>
    </row>
    <row r="211" spans="2:18" ht="15" customHeight="1">
      <c r="B211" s="593" t="s">
        <v>251</v>
      </c>
      <c r="C211" s="307"/>
      <c r="D211" s="443" t="s">
        <v>207</v>
      </c>
      <c r="E211" s="691"/>
      <c r="F211" s="578"/>
      <c r="G211" s="531">
        <v>2000000</v>
      </c>
      <c r="H211" s="141" t="s">
        <v>3</v>
      </c>
      <c r="I211" s="416"/>
      <c r="J211" s="417"/>
      <c r="K211" s="418"/>
      <c r="L211" s="419"/>
      <c r="M211" s="420"/>
      <c r="N211" s="417">
        <f>G211/4</f>
        <v>500000</v>
      </c>
      <c r="O211" s="587">
        <f>G211/4</f>
        <v>500000</v>
      </c>
      <c r="P211" s="588">
        <f>G211/4</f>
        <v>500000</v>
      </c>
      <c r="Q211" s="589">
        <f>G211/4</f>
        <v>500000</v>
      </c>
      <c r="R211" s="305"/>
    </row>
    <row r="212" spans="2:18" ht="15" customHeight="1">
      <c r="B212" s="693" t="s">
        <v>252</v>
      </c>
      <c r="C212" s="328" t="s">
        <v>253</v>
      </c>
      <c r="D212" s="694" t="s">
        <v>91</v>
      </c>
      <c r="E212" s="695">
        <f>C42</f>
        <v>297.42857142857144</v>
      </c>
      <c r="F212" s="696">
        <v>8000</v>
      </c>
      <c r="G212" s="531">
        <f>E212*F212</f>
        <v>2379428.5714285714</v>
      </c>
      <c r="I212" s="416"/>
      <c r="J212" s="417"/>
      <c r="K212" s="418"/>
      <c r="L212" s="419"/>
      <c r="M212" s="420"/>
      <c r="N212" s="417"/>
      <c r="O212" s="301"/>
      <c r="P212" s="302"/>
      <c r="Q212" s="589">
        <f>0.3*G212</f>
        <v>713828.57142857136</v>
      </c>
      <c r="R212" s="692">
        <f>0.7*G212</f>
        <v>1665599.9999999998</v>
      </c>
    </row>
    <row r="213" spans="2:18" ht="15" customHeight="1">
      <c r="B213" s="508" t="s">
        <v>254</v>
      </c>
      <c r="C213" s="509"/>
      <c r="D213" s="510"/>
      <c r="E213" s="511"/>
      <c r="F213" s="512"/>
      <c r="G213" s="338">
        <f>SUM(G205:G212)</f>
        <v>29745211.61161688</v>
      </c>
      <c r="I213" s="416"/>
      <c r="J213" s="417"/>
      <c r="K213" s="418"/>
      <c r="L213" s="419"/>
      <c r="M213" s="420"/>
      <c r="N213" s="417"/>
      <c r="O213" s="301"/>
      <c r="P213" s="302"/>
      <c r="Q213" s="304"/>
      <c r="R213" s="305"/>
    </row>
    <row r="214" spans="2:18" ht="15" customHeight="1">
      <c r="B214" s="697"/>
      <c r="C214" s="514"/>
      <c r="D214" s="515"/>
      <c r="E214" s="516" t="s">
        <v>154</v>
      </c>
      <c r="F214" s="517" t="s">
        <v>83</v>
      </c>
      <c r="G214" s="698">
        <f>G213/C35</f>
        <v>2534.9592305792467</v>
      </c>
      <c r="I214" s="416"/>
      <c r="J214" s="417"/>
      <c r="K214" s="418"/>
      <c r="L214" s="419"/>
      <c r="M214" s="420"/>
      <c r="N214" s="417"/>
      <c r="O214" s="301"/>
      <c r="P214" s="302"/>
      <c r="Q214" s="304"/>
      <c r="R214" s="305"/>
    </row>
    <row r="215" spans="2:18" ht="15" customHeight="1">
      <c r="B215" s="644"/>
      <c r="C215" s="164"/>
      <c r="D215" s="344"/>
      <c r="E215" s="348"/>
      <c r="F215" s="346" t="s">
        <v>84</v>
      </c>
      <c r="G215" s="699">
        <f>G213/C16</f>
        <v>1914.7223438440219</v>
      </c>
      <c r="I215" s="389"/>
      <c r="J215" s="390"/>
      <c r="K215" s="391"/>
      <c r="L215" s="392"/>
      <c r="M215" s="408"/>
      <c r="N215" s="390"/>
      <c r="O215" s="301"/>
      <c r="P215" s="302"/>
      <c r="Q215" s="304"/>
      <c r="R215" s="305"/>
    </row>
    <row r="216" spans="2:18" ht="15" customHeight="1" thickBot="1">
      <c r="B216" s="700"/>
      <c r="C216" s="350"/>
      <c r="D216" s="351"/>
      <c r="E216" s="352"/>
      <c r="F216" s="353" t="s">
        <v>155</v>
      </c>
      <c r="G216" s="354">
        <f>G213/G303</f>
        <v>1.4610636378165924E-2</v>
      </c>
      <c r="I216" s="672"/>
      <c r="J216" s="673"/>
      <c r="K216" s="674"/>
      <c r="L216" s="675"/>
      <c r="M216" s="676"/>
      <c r="N216" s="673"/>
      <c r="O216" s="357"/>
      <c r="P216" s="358"/>
      <c r="Q216" s="360"/>
      <c r="R216" s="361"/>
    </row>
    <row r="217" spans="2:18" ht="20" customHeight="1" thickBot="1">
      <c r="B217" s="701"/>
      <c r="C217" s="164"/>
      <c r="D217" s="344"/>
      <c r="E217" s="702"/>
      <c r="F217" s="647"/>
      <c r="G217" s="703"/>
      <c r="I217" s="704"/>
      <c r="J217" s="705"/>
      <c r="K217" s="706"/>
      <c r="L217" s="707"/>
      <c r="M217" s="708"/>
      <c r="N217" s="705"/>
      <c r="O217" s="365"/>
      <c r="P217" s="366"/>
      <c r="Q217" s="368"/>
      <c r="R217" s="369"/>
    </row>
    <row r="218" spans="2:18" ht="15" customHeight="1">
      <c r="B218" s="286" t="s">
        <v>255</v>
      </c>
      <c r="C218" s="287"/>
      <c r="D218" s="287"/>
      <c r="E218" s="287"/>
      <c r="F218" s="287"/>
      <c r="G218" s="412"/>
      <c r="H218" s="149"/>
      <c r="I218" s="709"/>
      <c r="J218" s="710"/>
      <c r="K218" s="711"/>
      <c r="L218" s="712"/>
      <c r="M218" s="713"/>
      <c r="N218" s="710"/>
      <c r="O218" s="378"/>
      <c r="P218" s="379"/>
      <c r="Q218" s="381"/>
      <c r="R218" s="382"/>
    </row>
    <row r="219" spans="2:18" ht="15" customHeight="1">
      <c r="B219" s="714" t="s">
        <v>256</v>
      </c>
      <c r="C219" s="384" t="s">
        <v>257</v>
      </c>
      <c r="D219" s="295" t="s">
        <v>229</v>
      </c>
      <c r="E219" s="715">
        <v>2.5000000000000001E-2</v>
      </c>
      <c r="F219" s="688">
        <f>G80+G91+G139+G198+G213+G242+G254++G264+G233</f>
        <v>1639589263.6210322</v>
      </c>
      <c r="G219" s="716">
        <f>E219*F219</f>
        <v>40989731.590525806</v>
      </c>
      <c r="H219" s="1526"/>
      <c r="I219" s="416">
        <f>G219/D55*I59</f>
        <v>2277207.3105847673</v>
      </c>
      <c r="J219" s="417">
        <f>G219/D55*J59</f>
        <v>4554414.6211695345</v>
      </c>
      <c r="K219" s="418">
        <f>G219/D55*K59</f>
        <v>4554414.6211695345</v>
      </c>
      <c r="L219" s="419">
        <f>G219/D55*L59</f>
        <v>4554414.6211695345</v>
      </c>
      <c r="M219" s="420">
        <f>G219/D55*M59</f>
        <v>4554414.6211695345</v>
      </c>
      <c r="N219" s="417">
        <f>G219/D55*N59</f>
        <v>4554414.6211695345</v>
      </c>
      <c r="O219" s="418">
        <f>G219/D55*O59</f>
        <v>4554414.6211695345</v>
      </c>
      <c r="P219" s="419">
        <f>G219/D55*P59</f>
        <v>4554414.6211695345</v>
      </c>
      <c r="Q219" s="420">
        <f>G219/D55*Q59</f>
        <v>4554414.6211695345</v>
      </c>
      <c r="R219" s="590">
        <f>G219/D55*R59</f>
        <v>2277207.3105847673</v>
      </c>
    </row>
    <row r="220" spans="2:18" ht="15" customHeight="1">
      <c r="B220" s="528" t="s">
        <v>258</v>
      </c>
      <c r="C220" s="307" t="s">
        <v>259</v>
      </c>
      <c r="D220" s="308" t="s">
        <v>229</v>
      </c>
      <c r="E220" s="717">
        <v>0.02</v>
      </c>
      <c r="F220" s="718">
        <f>G198+G213</f>
        <v>1097034363.6210322</v>
      </c>
      <c r="G220" s="311">
        <f>E220*F220</f>
        <v>21940687.272420645</v>
      </c>
      <c r="H220" s="1526"/>
      <c r="I220" s="416">
        <f>G220/D55*I59</f>
        <v>1218927.0706900358</v>
      </c>
      <c r="J220" s="417">
        <f>G220/D55*J59</f>
        <v>2437854.1413800716</v>
      </c>
      <c r="K220" s="418">
        <f>G220/D55*K59</f>
        <v>2437854.1413800716</v>
      </c>
      <c r="L220" s="419">
        <f>G220/D55*L59</f>
        <v>2437854.1413800716</v>
      </c>
      <c r="M220" s="420">
        <f>G220/D55*M59</f>
        <v>2437854.1413800716</v>
      </c>
      <c r="N220" s="417">
        <f>G220/D55*N59</f>
        <v>2437854.1413800716</v>
      </c>
      <c r="O220" s="418">
        <f>G220/D55*O59</f>
        <v>2437854.1413800716</v>
      </c>
      <c r="P220" s="419">
        <f>G220/D55*P59</f>
        <v>2437854.1413800716</v>
      </c>
      <c r="Q220" s="420">
        <f>G220/D55*Q59</f>
        <v>2437854.1413800716</v>
      </c>
      <c r="R220" s="590">
        <f>G220/D55*R59</f>
        <v>1218927.0706900358</v>
      </c>
    </row>
    <row r="221" spans="2:18" ht="15" customHeight="1">
      <c r="B221" s="528" t="s">
        <v>260</v>
      </c>
      <c r="C221" s="307" t="s">
        <v>261</v>
      </c>
      <c r="D221" s="308" t="s">
        <v>229</v>
      </c>
      <c r="E221" s="717">
        <v>0.01</v>
      </c>
      <c r="F221" s="718">
        <f>G80+G91+G139+G198+G213+G233+G242+G254+G264</f>
        <v>1639589263.6210322</v>
      </c>
      <c r="G221" s="311">
        <f>F221*E221</f>
        <v>16395892.636210322</v>
      </c>
      <c r="H221" s="1526"/>
      <c r="I221" s="416">
        <f>G221/D55*I59</f>
        <v>910882.92423390679</v>
      </c>
      <c r="J221" s="417">
        <f>G221/D55*J59</f>
        <v>1821765.8484678136</v>
      </c>
      <c r="K221" s="418">
        <f>G221/D55*K59</f>
        <v>1821765.8484678136</v>
      </c>
      <c r="L221" s="419">
        <f>G221/D55*L59</f>
        <v>1821765.8484678136</v>
      </c>
      <c r="M221" s="420">
        <f>G221/D55*M59</f>
        <v>1821765.8484678136</v>
      </c>
      <c r="N221" s="417">
        <f>G221/D55*N59</f>
        <v>1821765.8484678136</v>
      </c>
      <c r="O221" s="418">
        <f>G221/D55*O59</f>
        <v>1821765.8484678136</v>
      </c>
      <c r="P221" s="419">
        <f>G221/D55*P59</f>
        <v>1821765.8484678136</v>
      </c>
      <c r="Q221" s="420">
        <f>G221/D55*Q59</f>
        <v>1821765.8484678136</v>
      </c>
      <c r="R221" s="590">
        <f>G221/D55*R59</f>
        <v>910882.92423390679</v>
      </c>
    </row>
    <row r="222" spans="2:18" ht="15" customHeight="1">
      <c r="B222" s="528" t="s">
        <v>262</v>
      </c>
      <c r="C222" s="307" t="s">
        <v>263</v>
      </c>
      <c r="D222" s="308" t="s">
        <v>229</v>
      </c>
      <c r="E222" s="717">
        <v>0.02</v>
      </c>
      <c r="F222" s="718">
        <f>G198+G213</f>
        <v>1097034363.6210322</v>
      </c>
      <c r="G222" s="311">
        <f>F222*E222</f>
        <v>21940687.272420645</v>
      </c>
      <c r="H222" s="1526"/>
      <c r="I222" s="416">
        <f>G222/D55*I59</f>
        <v>1218927.0706900358</v>
      </c>
      <c r="J222" s="417">
        <f>G222/D55*J59</f>
        <v>2437854.1413800716</v>
      </c>
      <c r="K222" s="418">
        <f>G222/D55*K59</f>
        <v>2437854.1413800716</v>
      </c>
      <c r="L222" s="419">
        <f>G222/D55*L59</f>
        <v>2437854.1413800716</v>
      </c>
      <c r="M222" s="420">
        <f>G222/D55*M59</f>
        <v>2437854.1413800716</v>
      </c>
      <c r="N222" s="417">
        <f>G222/D55*N59</f>
        <v>2437854.1413800716</v>
      </c>
      <c r="O222" s="418">
        <f>G222/D55*O59</f>
        <v>2437854.1413800716</v>
      </c>
      <c r="P222" s="419">
        <f>G222/D55*P59</f>
        <v>2437854.1413800716</v>
      </c>
      <c r="Q222" s="420">
        <f>G222/D55*Q59</f>
        <v>2437854.1413800716</v>
      </c>
      <c r="R222" s="590">
        <f>G222/D55*R59</f>
        <v>1218927.0706900358</v>
      </c>
    </row>
    <row r="223" spans="2:18" ht="15" customHeight="1">
      <c r="B223" s="508" t="s">
        <v>264</v>
      </c>
      <c r="C223" s="509"/>
      <c r="D223" s="510"/>
      <c r="E223" s="511"/>
      <c r="F223" s="512"/>
      <c r="G223" s="719">
        <f>SUM(G219:G222)</f>
        <v>101266998.77157742</v>
      </c>
      <c r="H223" s="720"/>
      <c r="I223" s="389"/>
      <c r="J223" s="390"/>
      <c r="K223" s="391"/>
      <c r="L223" s="392"/>
      <c r="M223" s="408"/>
      <c r="N223" s="390"/>
      <c r="O223" s="301"/>
      <c r="P223" s="302"/>
      <c r="Q223" s="304"/>
      <c r="R223" s="305"/>
    </row>
    <row r="224" spans="2:18" ht="15" customHeight="1">
      <c r="B224" s="721"/>
      <c r="C224" s="164"/>
      <c r="D224" s="344"/>
      <c r="E224" s="516" t="s">
        <v>154</v>
      </c>
      <c r="F224" s="517" t="s">
        <v>83</v>
      </c>
      <c r="G224" s="698">
        <f>G223/(C25+C26+C27)</f>
        <v>9727.8577110064762</v>
      </c>
      <c r="H224" s="722"/>
      <c r="I224" s="389"/>
      <c r="J224" s="390"/>
      <c r="K224" s="391"/>
      <c r="L224" s="392"/>
      <c r="M224" s="408"/>
      <c r="N224" s="390"/>
      <c r="O224" s="301"/>
      <c r="P224" s="302"/>
      <c r="Q224" s="304"/>
      <c r="R224" s="305"/>
    </row>
    <row r="225" spans="2:18" ht="15" customHeight="1">
      <c r="B225" s="721"/>
      <c r="C225" s="164"/>
      <c r="D225" s="344"/>
      <c r="E225" s="348"/>
      <c r="F225" s="346" t="s">
        <v>84</v>
      </c>
      <c r="G225" s="699">
        <f>G223/C16</f>
        <v>6518.6352604813274</v>
      </c>
      <c r="I225" s="389"/>
      <c r="J225" s="390"/>
      <c r="K225" s="391"/>
      <c r="L225" s="392"/>
      <c r="M225" s="408"/>
      <c r="N225" s="390"/>
      <c r="O225" s="301"/>
      <c r="P225" s="302"/>
      <c r="Q225" s="304"/>
      <c r="R225" s="305"/>
    </row>
    <row r="226" spans="2:18" ht="15" customHeight="1" thickBot="1">
      <c r="B226" s="723"/>
      <c r="C226" s="350"/>
      <c r="D226" s="351"/>
      <c r="E226" s="352"/>
      <c r="F226" s="353" t="s">
        <v>155</v>
      </c>
      <c r="G226" s="354">
        <f>G223/G303</f>
        <v>4.9741629526073042E-2</v>
      </c>
      <c r="I226" s="724"/>
      <c r="J226" s="725"/>
      <c r="K226" s="726"/>
      <c r="L226" s="727"/>
      <c r="M226" s="676"/>
      <c r="N226" s="673"/>
      <c r="O226" s="357"/>
      <c r="P226" s="358"/>
      <c r="Q226" s="360"/>
      <c r="R226" s="361"/>
    </row>
    <row r="227" spans="2:18" ht="20" customHeight="1" thickBot="1">
      <c r="B227" s="274"/>
      <c r="C227" s="164"/>
      <c r="D227" s="344"/>
      <c r="E227" s="348"/>
      <c r="F227" s="346"/>
      <c r="H227" s="728"/>
      <c r="I227" s="729"/>
      <c r="J227" s="730"/>
      <c r="K227" s="731"/>
      <c r="L227" s="732"/>
      <c r="M227" s="733"/>
      <c r="N227" s="730"/>
      <c r="O227" s="365"/>
      <c r="P227" s="366"/>
      <c r="Q227" s="368"/>
      <c r="R227" s="369"/>
    </row>
    <row r="228" spans="2:18" ht="15" customHeight="1">
      <c r="B228" s="734" t="s">
        <v>265</v>
      </c>
      <c r="C228" s="371"/>
      <c r="D228" s="372"/>
      <c r="E228" s="373"/>
      <c r="F228" s="374"/>
      <c r="G228" s="375"/>
      <c r="I228" s="735"/>
      <c r="J228" s="736"/>
      <c r="K228" s="737"/>
      <c r="L228" s="738"/>
      <c r="M228" s="713"/>
      <c r="N228" s="710"/>
      <c r="O228" s="378"/>
      <c r="P228" s="379"/>
      <c r="Q228" s="381"/>
      <c r="R228" s="382"/>
    </row>
    <row r="229" spans="2:18" ht="15" customHeight="1">
      <c r="B229" s="383" t="s">
        <v>266</v>
      </c>
      <c r="C229" s="457"/>
      <c r="D229" s="295"/>
      <c r="E229" s="739"/>
      <c r="F229" s="740"/>
      <c r="G229" s="741">
        <v>1000000</v>
      </c>
      <c r="I229" s="742"/>
      <c r="J229" s="743"/>
      <c r="K229" s="744"/>
      <c r="L229" s="745"/>
      <c r="M229" s="408"/>
      <c r="N229" s="390"/>
      <c r="O229" s="301"/>
      <c r="P229" s="302"/>
      <c r="Q229" s="304"/>
      <c r="R229" s="393">
        <f>G229</f>
        <v>1000000</v>
      </c>
    </row>
    <row r="230" spans="2:18" ht="15" customHeight="1">
      <c r="B230" s="394" t="s">
        <v>267</v>
      </c>
      <c r="C230" s="175"/>
      <c r="D230" s="308" t="s">
        <v>229</v>
      </c>
      <c r="E230" s="746"/>
      <c r="F230" s="747"/>
      <c r="G230" s="748">
        <v>250000</v>
      </c>
      <c r="I230" s="742"/>
      <c r="J230" s="743"/>
      <c r="K230" s="744"/>
      <c r="L230" s="745"/>
      <c r="M230" s="408"/>
      <c r="N230" s="390"/>
      <c r="O230" s="301"/>
      <c r="P230" s="302"/>
      <c r="Q230" s="304"/>
      <c r="R230" s="393">
        <f>G230</f>
        <v>250000</v>
      </c>
    </row>
    <row r="231" spans="2:18" ht="15" customHeight="1">
      <c r="B231" s="394" t="s">
        <v>268</v>
      </c>
      <c r="C231" s="175"/>
      <c r="D231" s="308" t="s">
        <v>229</v>
      </c>
      <c r="E231" s="749">
        <v>24</v>
      </c>
      <c r="F231" s="750">
        <v>120000</v>
      </c>
      <c r="G231" s="748">
        <f>F231*E231</f>
        <v>2880000</v>
      </c>
      <c r="I231" s="742"/>
      <c r="J231" s="743"/>
      <c r="K231" s="744"/>
      <c r="L231" s="745"/>
      <c r="M231" s="408"/>
      <c r="N231" s="390"/>
      <c r="O231" s="301"/>
      <c r="P231" s="302"/>
      <c r="Q231" s="304"/>
      <c r="R231" s="393">
        <f>G231</f>
        <v>2880000</v>
      </c>
    </row>
    <row r="232" spans="2:18" ht="15" customHeight="1">
      <c r="B232" s="400" t="s">
        <v>269</v>
      </c>
      <c r="C232" s="751"/>
      <c r="D232" s="329"/>
      <c r="E232" s="752"/>
      <c r="F232" s="753"/>
      <c r="G232" s="754">
        <v>1500000</v>
      </c>
      <c r="I232" s="742"/>
      <c r="J232" s="743"/>
      <c r="K232" s="744"/>
      <c r="L232" s="745"/>
      <c r="M232" s="408"/>
      <c r="N232" s="390"/>
      <c r="O232" s="301"/>
      <c r="P232" s="302"/>
      <c r="Q232" s="304"/>
      <c r="R232" s="393">
        <f>G232</f>
        <v>1500000</v>
      </c>
    </row>
    <row r="233" spans="2:18" ht="15" customHeight="1">
      <c r="B233" s="333" t="s">
        <v>270</v>
      </c>
      <c r="C233" s="334"/>
      <c r="D233" s="335"/>
      <c r="E233" s="336"/>
      <c r="F233" s="406"/>
      <c r="G233" s="407">
        <f>SUM(G229:G232)</f>
        <v>5630000</v>
      </c>
      <c r="I233" s="755"/>
      <c r="J233" s="756"/>
      <c r="K233" s="757"/>
      <c r="L233" s="758"/>
      <c r="M233" s="759"/>
      <c r="N233" s="756"/>
      <c r="O233" s="301"/>
      <c r="P233" s="302"/>
      <c r="Q233" s="304"/>
      <c r="R233" s="305"/>
    </row>
    <row r="234" spans="2:18" ht="15" customHeight="1">
      <c r="B234" s="721"/>
      <c r="C234" s="164"/>
      <c r="D234" s="344"/>
      <c r="E234" s="516" t="s">
        <v>154</v>
      </c>
      <c r="F234" s="517" t="s">
        <v>83</v>
      </c>
      <c r="G234" s="698">
        <f>G233/C35</f>
        <v>479.80228396113858</v>
      </c>
      <c r="I234" s="755"/>
      <c r="J234" s="743"/>
      <c r="K234" s="744"/>
      <c r="L234" s="745"/>
      <c r="M234" s="408"/>
      <c r="N234" s="390"/>
      <c r="O234" s="301"/>
      <c r="P234" s="302"/>
      <c r="Q234" s="304"/>
      <c r="R234" s="305"/>
    </row>
    <row r="235" spans="2:18" ht="15" customHeight="1">
      <c r="B235" s="721"/>
      <c r="C235" s="164"/>
      <c r="D235" s="344"/>
      <c r="E235" s="348"/>
      <c r="F235" s="346" t="s">
        <v>84</v>
      </c>
      <c r="G235" s="699">
        <f>G233/C16</f>
        <v>362.40746700997749</v>
      </c>
      <c r="I235" s="742"/>
      <c r="J235" s="743"/>
      <c r="K235" s="744"/>
      <c r="L235" s="745"/>
      <c r="M235" s="408"/>
      <c r="N235" s="390"/>
      <c r="O235" s="301"/>
      <c r="P235" s="302"/>
      <c r="Q235" s="304"/>
      <c r="R235" s="305"/>
    </row>
    <row r="236" spans="2:18" ht="15" customHeight="1" thickBot="1">
      <c r="B236" s="723"/>
      <c r="C236" s="350"/>
      <c r="D236" s="351"/>
      <c r="E236" s="352"/>
      <c r="F236" s="353" t="s">
        <v>155</v>
      </c>
      <c r="G236" s="354">
        <f>G233/G303</f>
        <v>2.765415956124805E-3</v>
      </c>
      <c r="I236" s="724"/>
      <c r="J236" s="725"/>
      <c r="K236" s="726"/>
      <c r="L236" s="727"/>
      <c r="M236" s="676"/>
      <c r="N236" s="673"/>
      <c r="O236" s="357"/>
      <c r="P236" s="358"/>
      <c r="Q236" s="360"/>
      <c r="R236" s="361"/>
    </row>
    <row r="237" spans="2:18" ht="20" customHeight="1" thickBot="1">
      <c r="B237" s="274"/>
      <c r="C237" s="164"/>
      <c r="D237" s="344"/>
      <c r="E237" s="348"/>
      <c r="F237" s="346"/>
      <c r="G237" s="362"/>
      <c r="H237" s="141" t="s">
        <v>3</v>
      </c>
      <c r="I237" s="760"/>
      <c r="J237" s="730"/>
      <c r="K237" s="731"/>
      <c r="L237" s="732"/>
      <c r="M237" s="708"/>
      <c r="N237" s="705"/>
      <c r="O237" s="365"/>
      <c r="P237" s="366"/>
      <c r="Q237" s="368"/>
      <c r="R237" s="369"/>
    </row>
    <row r="238" spans="2:18" ht="15" customHeight="1">
      <c r="B238" s="734" t="s">
        <v>271</v>
      </c>
      <c r="C238" s="371"/>
      <c r="D238" s="372"/>
      <c r="E238" s="373"/>
      <c r="F238" s="374"/>
      <c r="G238" s="375"/>
      <c r="I238" s="735"/>
      <c r="J238" s="736"/>
      <c r="K238" s="737"/>
      <c r="L238" s="738"/>
      <c r="M238" s="713"/>
      <c r="N238" s="710"/>
      <c r="O238" s="378"/>
      <c r="P238" s="379"/>
      <c r="Q238" s="381"/>
      <c r="R238" s="382"/>
    </row>
    <row r="239" spans="2:18" ht="15" customHeight="1">
      <c r="B239" s="761" t="s">
        <v>272</v>
      </c>
      <c r="C239" s="164"/>
      <c r="D239" s="344"/>
      <c r="E239" s="348"/>
      <c r="F239" s="346"/>
      <c r="G239" s="762">
        <v>0</v>
      </c>
      <c r="I239" s="742"/>
      <c r="J239" s="743"/>
      <c r="K239" s="744"/>
      <c r="L239" s="745"/>
      <c r="M239" s="408"/>
      <c r="N239" s="390"/>
      <c r="O239" s="301"/>
      <c r="P239" s="302"/>
      <c r="Q239" s="304"/>
      <c r="R239" s="305"/>
    </row>
    <row r="240" spans="2:18" ht="15" customHeight="1">
      <c r="B240" s="761" t="s">
        <v>273</v>
      </c>
      <c r="C240" s="164"/>
      <c r="D240" s="344"/>
      <c r="E240" s="348"/>
      <c r="F240" s="346"/>
      <c r="G240" s="762">
        <v>0</v>
      </c>
      <c r="I240" s="742"/>
      <c r="J240" s="743"/>
      <c r="K240" s="744"/>
      <c r="L240" s="745"/>
      <c r="M240" s="408"/>
      <c r="N240" s="390"/>
      <c r="O240" s="301"/>
      <c r="P240" s="302"/>
      <c r="Q240" s="304"/>
      <c r="R240" s="305"/>
    </row>
    <row r="241" spans="2:18" ht="15" customHeight="1">
      <c r="B241" s="761" t="s">
        <v>274</v>
      </c>
      <c r="C241" s="164"/>
      <c r="D241" s="344" t="s">
        <v>229</v>
      </c>
      <c r="E241" s="763">
        <v>0.05</v>
      </c>
      <c r="F241" s="346">
        <f>G239+G240</f>
        <v>0</v>
      </c>
      <c r="G241" s="762">
        <v>0</v>
      </c>
      <c r="I241" s="742"/>
      <c r="J241" s="743"/>
      <c r="K241" s="744"/>
      <c r="L241" s="745"/>
      <c r="M241" s="408"/>
      <c r="N241" s="390"/>
      <c r="O241" s="301"/>
      <c r="P241" s="302"/>
      <c r="Q241" s="304"/>
      <c r="R241" s="305"/>
    </row>
    <row r="242" spans="2:18" ht="15" customHeight="1">
      <c r="B242" s="764" t="s">
        <v>122</v>
      </c>
      <c r="C242" s="334"/>
      <c r="D242" s="335"/>
      <c r="E242" s="336"/>
      <c r="F242" s="406"/>
      <c r="G242" s="765">
        <f>SUM(G239:G241)</f>
        <v>0</v>
      </c>
      <c r="I242" s="742"/>
      <c r="J242" s="743"/>
      <c r="K242" s="744"/>
      <c r="L242" s="745"/>
      <c r="M242" s="408"/>
      <c r="N242" s="390"/>
      <c r="O242" s="301"/>
      <c r="P242" s="302"/>
      <c r="Q242" s="304"/>
      <c r="R242" s="305"/>
    </row>
    <row r="243" spans="2:18" ht="15" customHeight="1">
      <c r="B243" s="721"/>
      <c r="C243" s="164"/>
      <c r="D243" s="344"/>
      <c r="E243" s="516" t="s">
        <v>154</v>
      </c>
      <c r="F243" s="517" t="s">
        <v>83</v>
      </c>
      <c r="G243" s="698">
        <f>G242/C35</f>
        <v>0</v>
      </c>
      <c r="I243" s="742"/>
      <c r="J243" s="743"/>
      <c r="K243" s="744"/>
      <c r="L243" s="745"/>
      <c r="M243" s="408"/>
      <c r="N243" s="390"/>
      <c r="O243" s="301"/>
      <c r="P243" s="302"/>
      <c r="Q243" s="304"/>
      <c r="R243" s="305"/>
    </row>
    <row r="244" spans="2:18" ht="15" customHeight="1">
      <c r="B244" s="721"/>
      <c r="C244" s="164"/>
      <c r="D244" s="344"/>
      <c r="E244" s="348"/>
      <c r="F244" s="346" t="s">
        <v>84</v>
      </c>
      <c r="G244" s="699">
        <f>G242/C16</f>
        <v>0</v>
      </c>
      <c r="I244" s="742"/>
      <c r="J244" s="743"/>
      <c r="K244" s="744"/>
      <c r="L244" s="745"/>
      <c r="M244" s="408"/>
      <c r="N244" s="390"/>
      <c r="O244" s="301"/>
      <c r="P244" s="302"/>
      <c r="Q244" s="304"/>
      <c r="R244" s="305"/>
    </row>
    <row r="245" spans="2:18" ht="15" customHeight="1" thickBot="1">
      <c r="B245" s="723"/>
      <c r="C245" s="350"/>
      <c r="D245" s="351"/>
      <c r="E245" s="352"/>
      <c r="F245" s="353" t="s">
        <v>155</v>
      </c>
      <c r="G245" s="354">
        <f>G242/G303</f>
        <v>0</v>
      </c>
      <c r="I245" s="724"/>
      <c r="J245" s="725"/>
      <c r="K245" s="726"/>
      <c r="L245" s="727"/>
      <c r="M245" s="676"/>
      <c r="N245" s="673"/>
      <c r="O245" s="357"/>
      <c r="P245" s="358"/>
      <c r="Q245" s="360"/>
      <c r="R245" s="361"/>
    </row>
    <row r="246" spans="2:18" ht="20" customHeight="1" thickBot="1">
      <c r="B246" s="274"/>
      <c r="C246" s="164"/>
      <c r="D246" s="344"/>
      <c r="E246" s="348"/>
      <c r="F246" s="346"/>
      <c r="G246" s="362"/>
      <c r="I246" s="760"/>
      <c r="J246" s="730"/>
      <c r="K246" s="731"/>
      <c r="L246" s="732"/>
      <c r="M246" s="708"/>
      <c r="N246" s="705"/>
      <c r="O246" s="365"/>
      <c r="P246" s="366"/>
      <c r="Q246" s="368"/>
      <c r="R246" s="369"/>
    </row>
    <row r="247" spans="2:18" ht="15" customHeight="1">
      <c r="B247" s="734" t="s">
        <v>275</v>
      </c>
      <c r="C247" s="371"/>
      <c r="D247" s="372"/>
      <c r="E247" s="373"/>
      <c r="F247" s="374"/>
      <c r="G247" s="375"/>
      <c r="I247" s="735"/>
      <c r="J247" s="736"/>
      <c r="K247" s="737"/>
      <c r="L247" s="738"/>
      <c r="M247" s="381"/>
      <c r="N247" s="710"/>
      <c r="O247" s="378"/>
      <c r="P247" s="379"/>
      <c r="Q247" s="381"/>
      <c r="R247" s="382"/>
    </row>
    <row r="248" spans="2:18" ht="15" customHeight="1">
      <c r="B248" s="383" t="s">
        <v>276</v>
      </c>
      <c r="C248" s="384" t="s">
        <v>277</v>
      </c>
      <c r="D248" s="766" t="s">
        <v>229</v>
      </c>
      <c r="E248" s="767">
        <v>0.01</v>
      </c>
      <c r="F248" s="688">
        <f>G324</f>
        <v>2658040000</v>
      </c>
      <c r="G248" s="716">
        <f>E248*F248</f>
        <v>26580400</v>
      </c>
      <c r="I248" s="755"/>
      <c r="J248" s="756"/>
      <c r="K248" s="757"/>
      <c r="L248" s="758"/>
      <c r="M248" s="759">
        <f>G248/5</f>
        <v>5316080</v>
      </c>
      <c r="N248" s="756">
        <f>G248/5</f>
        <v>5316080</v>
      </c>
      <c r="O248" s="315">
        <f>G248/5</f>
        <v>5316080</v>
      </c>
      <c r="P248" s="316">
        <f>G248/5</f>
        <v>5316080</v>
      </c>
      <c r="Q248" s="425">
        <f>G248/5</f>
        <v>5316080</v>
      </c>
      <c r="R248" s="305"/>
    </row>
    <row r="249" spans="2:18" ht="15" customHeight="1">
      <c r="B249" s="394" t="s">
        <v>278</v>
      </c>
      <c r="C249" s="175"/>
      <c r="D249" s="308"/>
      <c r="E249" s="768"/>
      <c r="F249" s="769"/>
      <c r="G249" s="770"/>
      <c r="I249" s="755"/>
      <c r="J249" s="756"/>
      <c r="K249" s="757"/>
      <c r="L249" s="758"/>
      <c r="M249" s="759"/>
      <c r="N249" s="756"/>
      <c r="O249" s="301"/>
      <c r="P249" s="302"/>
      <c r="Q249" s="304"/>
      <c r="R249" s="305"/>
    </row>
    <row r="250" spans="2:18" ht="15" customHeight="1">
      <c r="B250" s="394" t="s">
        <v>279</v>
      </c>
      <c r="C250" s="175"/>
      <c r="D250" s="308"/>
      <c r="E250" s="768"/>
      <c r="F250" s="769"/>
      <c r="G250" s="770"/>
      <c r="I250" s="755"/>
      <c r="J250" s="756"/>
      <c r="K250" s="757"/>
      <c r="L250" s="758"/>
      <c r="M250" s="759"/>
      <c r="N250" s="756"/>
      <c r="O250" s="301"/>
      <c r="P250" s="302"/>
      <c r="Q250" s="304"/>
      <c r="R250" s="305"/>
    </row>
    <row r="251" spans="2:18" ht="15" customHeight="1">
      <c r="B251" s="394" t="s">
        <v>280</v>
      </c>
      <c r="C251" s="175"/>
      <c r="D251" s="308"/>
      <c r="E251" s="768"/>
      <c r="F251" s="769"/>
      <c r="G251" s="770"/>
      <c r="I251" s="755"/>
      <c r="J251" s="756"/>
      <c r="K251" s="757"/>
      <c r="L251" s="758"/>
      <c r="M251" s="759"/>
      <c r="N251" s="756"/>
      <c r="O251" s="301"/>
      <c r="P251" s="302"/>
      <c r="Q251" s="304"/>
      <c r="R251" s="305"/>
    </row>
    <row r="252" spans="2:18" ht="15" customHeight="1">
      <c r="B252" s="394" t="s">
        <v>281</v>
      </c>
      <c r="C252" s="175"/>
      <c r="D252" s="308"/>
      <c r="E252" s="768"/>
      <c r="F252" s="769"/>
      <c r="G252" s="770"/>
      <c r="I252" s="742"/>
      <c r="J252" s="743"/>
      <c r="K252" s="744"/>
      <c r="L252" s="745"/>
      <c r="M252" s="408"/>
      <c r="N252" s="390"/>
      <c r="O252" s="301"/>
      <c r="P252" s="302"/>
      <c r="Q252" s="304"/>
      <c r="R252" s="305"/>
    </row>
    <row r="253" spans="2:18" ht="15" customHeight="1">
      <c r="B253" s="400" t="s">
        <v>282</v>
      </c>
      <c r="C253" s="751"/>
      <c r="D253" s="634" t="s">
        <v>245</v>
      </c>
      <c r="E253" s="771">
        <v>36</v>
      </c>
      <c r="F253" s="772">
        <v>150000</v>
      </c>
      <c r="G253" s="773">
        <f>E253*F253</f>
        <v>5400000</v>
      </c>
      <c r="I253" s="742"/>
      <c r="J253" s="743"/>
      <c r="K253" s="757"/>
      <c r="L253" s="758">
        <f>G253-SUM(M253:R253)</f>
        <v>450000</v>
      </c>
      <c r="M253" s="408">
        <f>F253*M59</f>
        <v>900000</v>
      </c>
      <c r="N253" s="390">
        <f>F253*N59</f>
        <v>900000</v>
      </c>
      <c r="O253" s="418">
        <f>F253*O59</f>
        <v>900000</v>
      </c>
      <c r="P253" s="419">
        <f>F253*P59</f>
        <v>900000</v>
      </c>
      <c r="Q253" s="420">
        <f>F253*Q59</f>
        <v>900000</v>
      </c>
      <c r="R253" s="590">
        <f>F253*R59</f>
        <v>450000</v>
      </c>
    </row>
    <row r="254" spans="2:18" ht="15" customHeight="1">
      <c r="B254" s="774" t="s">
        <v>283</v>
      </c>
      <c r="C254" s="775"/>
      <c r="D254" s="776"/>
      <c r="E254" s="777"/>
      <c r="F254" s="778"/>
      <c r="G254" s="779">
        <f>SUM(G248:G253)</f>
        <v>31980400</v>
      </c>
      <c r="I254" s="755"/>
      <c r="J254" s="756"/>
      <c r="K254" s="757"/>
      <c r="L254" s="758"/>
      <c r="M254" s="759"/>
      <c r="N254" s="756"/>
      <c r="O254" s="301"/>
      <c r="P254" s="302"/>
      <c r="Q254" s="304"/>
      <c r="R254" s="305"/>
    </row>
    <row r="255" spans="2:18" ht="15" customHeight="1">
      <c r="B255" s="721"/>
      <c r="C255" s="164"/>
      <c r="D255" s="344"/>
      <c r="E255" s="516" t="s">
        <v>154</v>
      </c>
      <c r="F255" s="517" t="s">
        <v>83</v>
      </c>
      <c r="G255" s="698">
        <f>G254/C35</f>
        <v>2725.4474177603547</v>
      </c>
      <c r="I255" s="742"/>
      <c r="J255" s="743"/>
      <c r="K255" s="744"/>
      <c r="L255" s="745"/>
      <c r="M255" s="408"/>
      <c r="N255" s="390"/>
      <c r="O255" s="301"/>
      <c r="P255" s="302"/>
      <c r="Q255" s="304"/>
      <c r="R255" s="305"/>
    </row>
    <row r="256" spans="2:18" ht="15" customHeight="1">
      <c r="B256" s="721"/>
      <c r="C256" s="164"/>
      <c r="D256" s="344"/>
      <c r="E256" s="348"/>
      <c r="F256" s="346" t="s">
        <v>84</v>
      </c>
      <c r="G256" s="699">
        <f>G254/C16</f>
        <v>2058.6031541680077</v>
      </c>
      <c r="I256" s="742"/>
      <c r="J256" s="743"/>
      <c r="K256" s="744"/>
      <c r="L256" s="745"/>
      <c r="M256" s="408"/>
      <c r="N256" s="390"/>
      <c r="O256" s="301"/>
      <c r="P256" s="302"/>
      <c r="Q256" s="304"/>
      <c r="R256" s="305"/>
    </row>
    <row r="257" spans="2:19" ht="15" customHeight="1" thickBot="1">
      <c r="B257" s="723"/>
      <c r="C257" s="350"/>
      <c r="D257" s="351"/>
      <c r="E257" s="352"/>
      <c r="F257" s="353" t="s">
        <v>155</v>
      </c>
      <c r="G257" s="354">
        <f>G254/G303</f>
        <v>1.5708545016563717E-2</v>
      </c>
      <c r="I257" s="724"/>
      <c r="J257" s="725"/>
      <c r="K257" s="726"/>
      <c r="L257" s="727"/>
      <c r="M257" s="676"/>
      <c r="N257" s="673"/>
      <c r="O257" s="357"/>
      <c r="P257" s="358"/>
      <c r="Q257" s="360"/>
      <c r="R257" s="361"/>
    </row>
    <row r="258" spans="2:19" ht="20" customHeight="1" thickBot="1">
      <c r="B258" s="274"/>
      <c r="C258" s="164"/>
      <c r="D258" s="344"/>
      <c r="E258" s="348"/>
      <c r="F258" s="346"/>
      <c r="G258" s="362"/>
      <c r="I258" s="760"/>
      <c r="J258" s="730"/>
      <c r="K258" s="731"/>
      <c r="L258" s="732"/>
      <c r="M258" s="708"/>
      <c r="N258" s="705"/>
      <c r="O258" s="365"/>
      <c r="P258" s="366"/>
      <c r="Q258" s="368"/>
      <c r="R258" s="369"/>
    </row>
    <row r="259" spans="2:19" ht="15" customHeight="1">
      <c r="B259" s="734" t="s">
        <v>284</v>
      </c>
      <c r="C259" s="371"/>
      <c r="D259" s="372"/>
      <c r="E259" s="373"/>
      <c r="F259" s="374"/>
      <c r="G259" s="375"/>
      <c r="I259" s="735"/>
      <c r="J259" s="736"/>
      <c r="K259" s="737"/>
      <c r="L259" s="738"/>
      <c r="M259" s="713"/>
      <c r="N259" s="710"/>
      <c r="O259" s="378"/>
      <c r="P259" s="379"/>
      <c r="Q259" s="381"/>
      <c r="R259" s="382"/>
    </row>
    <row r="260" spans="2:19" ht="15" customHeight="1">
      <c r="B260" s="383" t="s">
        <v>285</v>
      </c>
      <c r="C260" s="457"/>
      <c r="D260" s="295"/>
      <c r="E260" s="739"/>
      <c r="F260" s="740"/>
      <c r="G260" s="780"/>
      <c r="I260" s="742"/>
      <c r="J260" s="743"/>
      <c r="K260" s="744"/>
      <c r="L260" s="745"/>
      <c r="M260" s="408"/>
      <c r="N260" s="390"/>
      <c r="O260" s="301"/>
      <c r="P260" s="302"/>
      <c r="Q260" s="304"/>
      <c r="R260" s="305"/>
    </row>
    <row r="261" spans="2:19" ht="15" customHeight="1">
      <c r="B261" s="394" t="s">
        <v>286</v>
      </c>
      <c r="C261" s="307"/>
      <c r="D261" s="443"/>
      <c r="E261" s="444"/>
      <c r="F261" s="424"/>
      <c r="G261" s="311">
        <v>0</v>
      </c>
      <c r="I261" s="742"/>
      <c r="J261" s="743"/>
      <c r="K261" s="744"/>
      <c r="L261" s="745"/>
      <c r="M261" s="408"/>
      <c r="N261" s="390"/>
      <c r="O261" s="301"/>
      <c r="P261" s="302"/>
      <c r="Q261" s="304"/>
      <c r="R261" s="305"/>
    </row>
    <row r="262" spans="2:19" ht="15" customHeight="1">
      <c r="B262" s="394" t="s">
        <v>287</v>
      </c>
      <c r="C262" s="175"/>
      <c r="D262" s="308"/>
      <c r="E262" s="768"/>
      <c r="F262" s="769"/>
      <c r="G262" s="770"/>
      <c r="I262" s="742"/>
      <c r="J262" s="743"/>
      <c r="K262" s="744"/>
      <c r="L262" s="745"/>
      <c r="M262" s="408"/>
      <c r="N262" s="390"/>
      <c r="O262" s="301"/>
      <c r="P262" s="302"/>
      <c r="Q262" s="304"/>
      <c r="R262" s="305"/>
    </row>
    <row r="263" spans="2:19" ht="15" customHeight="1">
      <c r="B263" s="400" t="s">
        <v>288</v>
      </c>
      <c r="C263" s="751"/>
      <c r="D263" s="329"/>
      <c r="E263" s="752"/>
      <c r="F263" s="753"/>
      <c r="G263" s="781"/>
      <c r="I263" s="742"/>
      <c r="J263" s="743"/>
      <c r="K263" s="744"/>
      <c r="L263" s="745"/>
      <c r="M263" s="408"/>
      <c r="N263" s="390"/>
      <c r="O263" s="301"/>
      <c r="P263" s="302"/>
      <c r="Q263" s="304"/>
      <c r="R263" s="305"/>
    </row>
    <row r="264" spans="2:19" ht="15" customHeight="1">
      <c r="B264" s="508" t="s">
        <v>289</v>
      </c>
      <c r="C264" s="334"/>
      <c r="D264" s="335"/>
      <c r="E264" s="336"/>
      <c r="F264" s="406"/>
      <c r="G264" s="765">
        <f>SUM(G260:G263)</f>
        <v>0</v>
      </c>
      <c r="I264" s="755"/>
      <c r="J264" s="756"/>
      <c r="K264" s="757"/>
      <c r="L264" s="758"/>
      <c r="M264" s="759"/>
      <c r="N264" s="756"/>
      <c r="O264" s="301"/>
      <c r="P264" s="302"/>
      <c r="Q264" s="304"/>
      <c r="R264" s="305"/>
    </row>
    <row r="265" spans="2:19" ht="15" customHeight="1">
      <c r="B265" s="721"/>
      <c r="C265" s="164"/>
      <c r="D265" s="344"/>
      <c r="E265" s="516" t="s">
        <v>154</v>
      </c>
      <c r="F265" s="517" t="s">
        <v>83</v>
      </c>
      <c r="G265" s="698">
        <f>G264/C35</f>
        <v>0</v>
      </c>
      <c r="I265" s="742"/>
      <c r="J265" s="743"/>
      <c r="K265" s="744"/>
      <c r="L265" s="745"/>
      <c r="M265" s="408"/>
      <c r="N265" s="390"/>
      <c r="O265" s="301"/>
      <c r="P265" s="302"/>
      <c r="Q265" s="304"/>
      <c r="R265" s="305"/>
    </row>
    <row r="266" spans="2:19" ht="15" customHeight="1">
      <c r="B266" s="721"/>
      <c r="C266" s="164"/>
      <c r="D266" s="344"/>
      <c r="E266" s="348"/>
      <c r="F266" s="346" t="s">
        <v>84</v>
      </c>
      <c r="G266" s="782">
        <f>G264/C16</f>
        <v>0</v>
      </c>
      <c r="I266" s="742"/>
      <c r="J266" s="743"/>
      <c r="K266" s="744"/>
      <c r="L266" s="745"/>
      <c r="M266" s="408"/>
      <c r="N266" s="390"/>
      <c r="O266" s="301"/>
      <c r="P266" s="302"/>
      <c r="Q266" s="304"/>
      <c r="R266" s="305"/>
    </row>
    <row r="267" spans="2:19" ht="15" customHeight="1" thickBot="1">
      <c r="B267" s="723"/>
      <c r="C267" s="350"/>
      <c r="D267" s="351"/>
      <c r="E267" s="352"/>
      <c r="F267" s="353" t="s">
        <v>155</v>
      </c>
      <c r="G267" s="354">
        <f>G264/G303</f>
        <v>0</v>
      </c>
      <c r="I267" s="783"/>
      <c r="J267" s="784"/>
      <c r="K267" s="785"/>
      <c r="L267" s="786"/>
      <c r="M267" s="787"/>
      <c r="N267" s="788"/>
      <c r="O267" s="789"/>
      <c r="P267" s="790"/>
      <c r="Q267" s="791"/>
      <c r="R267" s="792"/>
    </row>
    <row r="268" spans="2:19" ht="20" customHeight="1">
      <c r="B268" s="274"/>
      <c r="C268" s="164"/>
      <c r="D268" s="344"/>
      <c r="E268" s="348"/>
      <c r="F268" s="346"/>
      <c r="G268" s="362"/>
      <c r="I268" s="793"/>
      <c r="J268" s="793"/>
      <c r="K268" s="793"/>
      <c r="L268" s="793"/>
      <c r="M268" s="794"/>
      <c r="N268" s="794"/>
    </row>
    <row r="269" spans="2:19" ht="20" customHeight="1" thickBot="1">
      <c r="B269" s="795"/>
      <c r="C269" s="350"/>
      <c r="D269" s="351"/>
      <c r="E269" s="352"/>
      <c r="F269" s="353"/>
      <c r="G269" s="796"/>
      <c r="I269" s="793"/>
      <c r="J269" s="793"/>
      <c r="K269" s="793"/>
      <c r="L269" s="793"/>
      <c r="M269" s="794"/>
      <c r="N269" s="794"/>
    </row>
    <row r="270" spans="2:19" ht="20" customHeight="1" thickBot="1">
      <c r="B270" s="797" t="s">
        <v>290</v>
      </c>
      <c r="C270" s="798"/>
      <c r="D270" s="799"/>
      <c r="E270" s="799"/>
      <c r="F270" s="800"/>
      <c r="G270" s="801">
        <f>G264+G254+G242+G233+G223+G213+G198+G139+G91+G80</f>
        <v>1740856262.3926096</v>
      </c>
      <c r="H270" s="802" t="s">
        <v>291</v>
      </c>
      <c r="I270" s="803">
        <f t="shared" ref="I270:R270" si="3">SUM(I63:I267)</f>
        <v>8425944.3761987463</v>
      </c>
      <c r="J270" s="804">
        <f t="shared" si="3"/>
        <v>454751888.75239748</v>
      </c>
      <c r="K270" s="805">
        <f t="shared" si="3"/>
        <v>16213313.752397491</v>
      </c>
      <c r="L270" s="806">
        <f t="shared" si="3"/>
        <v>24445213.752397489</v>
      </c>
      <c r="M270" s="807">
        <f t="shared" si="3"/>
        <v>34698543.752397493</v>
      </c>
      <c r="N270" s="804">
        <f t="shared" si="3"/>
        <v>130759911.891607</v>
      </c>
      <c r="O270" s="805">
        <f t="shared" si="3"/>
        <v>264568236.89160702</v>
      </c>
      <c r="P270" s="806">
        <f t="shared" si="3"/>
        <v>264568236.89160702</v>
      </c>
      <c r="Q270" s="807">
        <f t="shared" si="3"/>
        <v>367985927.95580125</v>
      </c>
      <c r="R270" s="808">
        <f t="shared" si="3"/>
        <v>174439044.37619874</v>
      </c>
    </row>
    <row r="271" spans="2:19" ht="20" customHeight="1">
      <c r="B271" s="274"/>
      <c r="C271" s="164"/>
      <c r="D271" s="344"/>
      <c r="E271" s="348"/>
      <c r="F271" s="346"/>
      <c r="G271" s="362"/>
      <c r="H271" s="802" t="s">
        <v>292</v>
      </c>
      <c r="I271" s="809">
        <f>I270</f>
        <v>8425944.3761987463</v>
      </c>
      <c r="J271" s="810">
        <f t="shared" ref="J271:R271" si="4">I271+J270</f>
        <v>463177833.12859625</v>
      </c>
      <c r="K271" s="811">
        <f t="shared" si="4"/>
        <v>479391146.88099372</v>
      </c>
      <c r="L271" s="812">
        <f t="shared" si="4"/>
        <v>503836360.6333912</v>
      </c>
      <c r="M271" s="813">
        <f t="shared" si="4"/>
        <v>538534904.38578868</v>
      </c>
      <c r="N271" s="810">
        <f t="shared" si="4"/>
        <v>669294816.27739573</v>
      </c>
      <c r="O271" s="811">
        <f t="shared" si="4"/>
        <v>933863053.16900277</v>
      </c>
      <c r="P271" s="812">
        <f t="shared" si="4"/>
        <v>1198431290.0606098</v>
      </c>
      <c r="Q271" s="813">
        <f t="shared" si="4"/>
        <v>1566417218.0164111</v>
      </c>
      <c r="R271" s="814">
        <f t="shared" si="4"/>
        <v>1740856262.3926098</v>
      </c>
    </row>
    <row r="272" spans="2:19" ht="20" customHeight="1" thickBot="1">
      <c r="G272" s="582"/>
      <c r="H272" s="802" t="s">
        <v>293</v>
      </c>
      <c r="I272" s="815">
        <f>SUM(I62:I267)</f>
        <v>8425944.3761987463</v>
      </c>
      <c r="J272" s="1511">
        <f>SUM(J62:K267)</f>
        <v>470965202.50479496</v>
      </c>
      <c r="K272" s="1512"/>
      <c r="L272" s="1509">
        <f>SUM(L62:M267)</f>
        <v>59143757.504794985</v>
      </c>
      <c r="M272" s="1510"/>
      <c r="N272" s="1511">
        <f>SUM(N62:O267)</f>
        <v>395328148.78321403</v>
      </c>
      <c r="O272" s="1512"/>
      <c r="P272" s="1509">
        <f>SUM(P62:Q267)</f>
        <v>632554164.84740818</v>
      </c>
      <c r="Q272" s="1510"/>
      <c r="R272" s="816">
        <f>SUM(R62:R267)</f>
        <v>174439044.37619874</v>
      </c>
      <c r="S272" s="817"/>
    </row>
    <row r="273" spans="2:19" ht="15" customHeight="1">
      <c r="B273" s="818" t="s">
        <v>294</v>
      </c>
      <c r="C273" s="819"/>
      <c r="D273" s="820" t="s">
        <v>295</v>
      </c>
      <c r="E273" s="820" t="s">
        <v>296</v>
      </c>
      <c r="F273" s="820" t="s">
        <v>297</v>
      </c>
      <c r="G273" s="821" t="s">
        <v>298</v>
      </c>
      <c r="H273" s="822"/>
    </row>
    <row r="274" spans="2:19" ht="15" customHeight="1">
      <c r="B274" s="685" t="s">
        <v>299</v>
      </c>
      <c r="C274" s="823"/>
      <c r="D274" s="824"/>
      <c r="E274" s="295"/>
      <c r="F274" s="825"/>
      <c r="G274" s="826"/>
      <c r="H274" s="827" t="s">
        <v>300</v>
      </c>
      <c r="I274" s="828" t="s">
        <v>301</v>
      </c>
      <c r="J274" s="828" t="s">
        <v>302</v>
      </c>
      <c r="K274" s="828" t="s">
        <v>303</v>
      </c>
    </row>
    <row r="275" spans="2:19" ht="15" customHeight="1">
      <c r="B275" s="829" t="s">
        <v>304</v>
      </c>
      <c r="C275" s="830"/>
      <c r="D275" s="831">
        <v>0.1</v>
      </c>
      <c r="E275" s="832"/>
      <c r="F275" s="833"/>
      <c r="G275" s="834">
        <f>SUM(I279:M279)</f>
        <v>89939478.265480131</v>
      </c>
      <c r="H275" s="835"/>
      <c r="I275" s="836">
        <f>G270</f>
        <v>1740856262.3926096</v>
      </c>
      <c r="J275" s="837">
        <v>0.2</v>
      </c>
      <c r="K275" s="837">
        <v>0.8</v>
      </c>
    </row>
    <row r="276" spans="2:19" ht="15" customHeight="1">
      <c r="B276" s="829"/>
      <c r="C276" s="830"/>
      <c r="D276" s="831"/>
      <c r="E276" s="832"/>
      <c r="F276" s="833"/>
      <c r="G276" s="834"/>
      <c r="H276" s="835"/>
      <c r="I276" s="836"/>
      <c r="J276" s="838">
        <f>I275*J275</f>
        <v>348171252.47852194</v>
      </c>
      <c r="K276" s="838">
        <f>I275*K275</f>
        <v>1392685009.9140878</v>
      </c>
    </row>
    <row r="277" spans="2:19" ht="15" customHeight="1" thickBot="1">
      <c r="B277" s="829"/>
      <c r="C277" s="830"/>
      <c r="D277" s="831"/>
      <c r="E277" s="832"/>
      <c r="F277" s="833"/>
      <c r="G277" s="834"/>
      <c r="S277" s="149" t="s">
        <v>214</v>
      </c>
    </row>
    <row r="278" spans="2:19" ht="15" customHeight="1">
      <c r="B278" s="839"/>
      <c r="C278" s="840"/>
      <c r="D278" s="840"/>
      <c r="E278" s="841"/>
      <c r="F278" s="842"/>
      <c r="G278" s="843">
        <f>SUM(G275:G277)</f>
        <v>89939478.265480131</v>
      </c>
      <c r="H278" s="802" t="s">
        <v>305</v>
      </c>
      <c r="I278" s="844">
        <f>I271</f>
        <v>8425944.3761987463</v>
      </c>
      <c r="J278" s="845">
        <f>J271</f>
        <v>463177833.12859625</v>
      </c>
      <c r="K278" s="846">
        <f>K271</f>
        <v>479391146.88099372</v>
      </c>
      <c r="L278" s="845">
        <f>L271</f>
        <v>503836360.6333912</v>
      </c>
      <c r="M278" s="847">
        <f>J276</f>
        <v>348171252.47852194</v>
      </c>
      <c r="N278" s="848">
        <f>M278</f>
        <v>348171252.47852194</v>
      </c>
      <c r="O278" s="849">
        <f>N278</f>
        <v>348171252.47852194</v>
      </c>
      <c r="P278" s="850">
        <f>O278</f>
        <v>348171252.47852194</v>
      </c>
      <c r="Q278" s="849">
        <f>P278</f>
        <v>348171252.47852194</v>
      </c>
      <c r="R278" s="851">
        <f>Q278</f>
        <v>348171252.47852194</v>
      </c>
    </row>
    <row r="279" spans="2:19" ht="15" customHeight="1">
      <c r="B279" s="714" t="s">
        <v>306</v>
      </c>
      <c r="C279" s="852"/>
      <c r="D279" s="853"/>
      <c r="E279" s="854"/>
      <c r="F279" s="855"/>
      <c r="G279" s="298"/>
      <c r="H279" s="856" t="s">
        <v>298</v>
      </c>
      <c r="I279" s="857">
        <f>I278*D275/12*I59</f>
        <v>210648.60940496868</v>
      </c>
      <c r="J279" s="858">
        <f>J278*D275/12*J59</f>
        <v>23158891.656429812</v>
      </c>
      <c r="K279" s="859">
        <f>K278*D275/12*K59</f>
        <v>23969557.344049688</v>
      </c>
      <c r="L279" s="860">
        <f>L278*D275/12*L59</f>
        <v>25191818.031669561</v>
      </c>
      <c r="M279" s="861">
        <f>M278*D275/12*M59</f>
        <v>17408562.623926099</v>
      </c>
      <c r="N279" s="860">
        <f>N278*D275/12*N59</f>
        <v>17408562.623926099</v>
      </c>
      <c r="O279" s="862">
        <f>O278*D275/12*O59</f>
        <v>17408562.623926099</v>
      </c>
      <c r="P279" s="863">
        <f>P278*D275/12*P59</f>
        <v>17408562.623926099</v>
      </c>
      <c r="Q279" s="862">
        <f>Q278*D275/12*Q59</f>
        <v>17408562.623926099</v>
      </c>
      <c r="R279" s="864">
        <f>R278*D275/12*R59</f>
        <v>8704281.3119630497</v>
      </c>
      <c r="S279" s="582">
        <f>SUM(I279:R279)</f>
        <v>168278010.07314759</v>
      </c>
    </row>
    <row r="280" spans="2:19" ht="15" customHeight="1">
      <c r="B280" s="442" t="s">
        <v>307</v>
      </c>
      <c r="C280" s="830"/>
      <c r="D280" s="831">
        <v>0.06</v>
      </c>
      <c r="E280" s="832"/>
      <c r="F280" s="865"/>
      <c r="G280" s="311">
        <f>SUM(M281:R281)</f>
        <v>115860825.73420927</v>
      </c>
      <c r="H280" s="856" t="s">
        <v>308</v>
      </c>
      <c r="I280" s="866"/>
      <c r="J280" s="867"/>
      <c r="K280" s="868"/>
      <c r="L280" s="867"/>
      <c r="M280" s="868">
        <f t="shared" ref="M280:R280" si="5">M271-M278</f>
        <v>190363651.90726674</v>
      </c>
      <c r="N280" s="867">
        <f t="shared" si="5"/>
        <v>321123563.79887378</v>
      </c>
      <c r="O280" s="868">
        <f t="shared" si="5"/>
        <v>585691800.69048083</v>
      </c>
      <c r="P280" s="867">
        <f t="shared" si="5"/>
        <v>850260037.58208787</v>
      </c>
      <c r="Q280" s="868">
        <f t="shared" si="5"/>
        <v>1218245965.537889</v>
      </c>
      <c r="R280" s="866">
        <f t="shared" si="5"/>
        <v>1392685009.9140878</v>
      </c>
    </row>
    <row r="281" spans="2:19" ht="15" customHeight="1">
      <c r="B281" s="442" t="s">
        <v>309</v>
      </c>
      <c r="C281" s="830"/>
      <c r="D281" s="831">
        <v>0.1</v>
      </c>
      <c r="E281" s="832"/>
      <c r="F281" s="865"/>
      <c r="G281" s="311">
        <f>SUM(N279:R279)</f>
        <v>78338531.807667449</v>
      </c>
      <c r="H281" s="856" t="s">
        <v>298</v>
      </c>
      <c r="I281" s="866"/>
      <c r="J281" s="867"/>
      <c r="K281" s="868"/>
      <c r="L281" s="867"/>
      <c r="M281" s="868">
        <f>M280*D280/12*M59</f>
        <v>5710909.5572180022</v>
      </c>
      <c r="N281" s="867">
        <f>N280*D280/12*N59</f>
        <v>9633706.9139662124</v>
      </c>
      <c r="O281" s="868">
        <f>O280*D280/12*O59</f>
        <v>17570754.020714425</v>
      </c>
      <c r="P281" s="867">
        <f>P280*D280/12*P59</f>
        <v>25507801.127462637</v>
      </c>
      <c r="Q281" s="868">
        <f>Q280*D280/12*Q59</f>
        <v>36547378.966136672</v>
      </c>
      <c r="R281" s="866">
        <f>R280*D280/12*R59</f>
        <v>20890275.148711316</v>
      </c>
      <c r="S281" s="582">
        <f>SUM(I281:R281)</f>
        <v>115860825.73420927</v>
      </c>
    </row>
    <row r="282" spans="2:19" ht="15" customHeight="1" thickBot="1">
      <c r="B282" s="869"/>
      <c r="C282" s="870"/>
      <c r="D282" s="871"/>
      <c r="E282" s="841"/>
      <c r="F282" s="872"/>
      <c r="G282" s="873">
        <f>SUM(G280:G281)</f>
        <v>194199357.54187673</v>
      </c>
      <c r="H282" s="874" t="s">
        <v>310</v>
      </c>
      <c r="I282" s="783">
        <f>I278+I280</f>
        <v>8425944.3761987463</v>
      </c>
      <c r="J282" s="786">
        <f t="shared" ref="J282:R282" si="6">J278+J280</f>
        <v>463177833.12859625</v>
      </c>
      <c r="K282" s="875">
        <f t="shared" si="6"/>
        <v>479391146.88099372</v>
      </c>
      <c r="L282" s="786">
        <f t="shared" si="6"/>
        <v>503836360.6333912</v>
      </c>
      <c r="M282" s="875">
        <f t="shared" si="6"/>
        <v>538534904.38578868</v>
      </c>
      <c r="N282" s="786">
        <f t="shared" si="6"/>
        <v>669294816.27739573</v>
      </c>
      <c r="O282" s="875">
        <f t="shared" si="6"/>
        <v>933863053.16900277</v>
      </c>
      <c r="P282" s="786">
        <f t="shared" si="6"/>
        <v>1198431290.0606098</v>
      </c>
      <c r="Q282" s="875">
        <f t="shared" si="6"/>
        <v>1566417218.0164108</v>
      </c>
      <c r="R282" s="876">
        <f t="shared" si="6"/>
        <v>1740856262.3926096</v>
      </c>
      <c r="S282" s="877">
        <f>S279+S281</f>
        <v>284138835.80735683</v>
      </c>
    </row>
    <row r="283" spans="2:19" ht="15" customHeight="1">
      <c r="B283" s="878" t="s">
        <v>311</v>
      </c>
      <c r="C283" s="879"/>
      <c r="D283" s="510"/>
      <c r="E283" s="880"/>
      <c r="F283" s="512"/>
      <c r="G283" s="338">
        <f>G278+G282</f>
        <v>284138835.80735683</v>
      </c>
      <c r="I283" s="794"/>
      <c r="J283" s="794"/>
      <c r="K283" s="794"/>
      <c r="L283" s="794"/>
      <c r="M283" s="794"/>
      <c r="N283" s="794"/>
      <c r="O283" s="794"/>
      <c r="P283" s="794"/>
      <c r="Q283" s="794"/>
      <c r="R283" s="794"/>
    </row>
    <row r="284" spans="2:19" ht="15" customHeight="1">
      <c r="B284" s="881"/>
      <c r="C284" s="514"/>
      <c r="D284" s="515"/>
      <c r="E284" s="609" t="s">
        <v>154</v>
      </c>
      <c r="F284" s="882" t="s">
        <v>83</v>
      </c>
      <c r="G284" s="883">
        <f>G283/C35</f>
        <v>24215.002199365674</v>
      </c>
      <c r="L284" s="794"/>
    </row>
    <row r="285" spans="2:19" ht="15" customHeight="1">
      <c r="B285" s="721"/>
      <c r="C285" s="164"/>
      <c r="D285" s="344"/>
      <c r="E285" s="348"/>
      <c r="F285" s="884" t="s">
        <v>84</v>
      </c>
      <c r="G285" s="782">
        <f>G283/C16</f>
        <v>18290.237258278521</v>
      </c>
      <c r="L285" s="147"/>
    </row>
    <row r="286" spans="2:19" ht="15" customHeight="1">
      <c r="B286" s="885"/>
      <c r="C286" s="886"/>
      <c r="D286" s="551"/>
      <c r="E286" s="615"/>
      <c r="F286" s="887" t="s">
        <v>155</v>
      </c>
      <c r="G286" s="888">
        <f>G283/G303</f>
        <v>0.13956697518585981</v>
      </c>
      <c r="L286" s="147"/>
    </row>
    <row r="287" spans="2:19" ht="20" customHeight="1" thickBot="1">
      <c r="B287" s="721"/>
      <c r="C287" s="164"/>
      <c r="D287" s="344"/>
      <c r="E287" s="348"/>
      <c r="F287" s="884"/>
      <c r="G287" s="889"/>
    </row>
    <row r="288" spans="2:19" ht="15" customHeight="1">
      <c r="B288" s="890" t="s">
        <v>312</v>
      </c>
      <c r="C288" s="452"/>
      <c r="D288" s="454" t="s">
        <v>295</v>
      </c>
      <c r="E288" s="454" t="s">
        <v>296</v>
      </c>
      <c r="F288" s="454" t="s">
        <v>297</v>
      </c>
      <c r="G288" s="891" t="s">
        <v>313</v>
      </c>
      <c r="I288" s="892"/>
      <c r="J288" s="893"/>
      <c r="K288" s="894"/>
      <c r="L288" s="895"/>
      <c r="M288" s="896"/>
      <c r="N288" s="893"/>
      <c r="O288" s="894"/>
      <c r="P288" s="895"/>
      <c r="Q288" s="896"/>
      <c r="R288" s="897"/>
    </row>
    <row r="289" spans="2:18" ht="15" customHeight="1">
      <c r="B289" s="714" t="s">
        <v>314</v>
      </c>
      <c r="C289" s="457"/>
      <c r="D289" s="295" t="s">
        <v>245</v>
      </c>
      <c r="E289" s="898">
        <v>42</v>
      </c>
      <c r="F289" s="899">
        <v>50000</v>
      </c>
      <c r="G289" s="741">
        <f>F289*E289</f>
        <v>2100000</v>
      </c>
      <c r="I289" s="416"/>
      <c r="J289" s="417"/>
      <c r="K289" s="418">
        <f>G289-SUM(L289:R289)</f>
        <v>150000</v>
      </c>
      <c r="L289" s="419">
        <f>F289*L59</f>
        <v>300000</v>
      </c>
      <c r="M289" s="420">
        <f>F289*M59</f>
        <v>300000</v>
      </c>
      <c r="N289" s="417">
        <f>F289*N59</f>
        <v>300000</v>
      </c>
      <c r="O289" s="418">
        <f>F289*O59</f>
        <v>300000</v>
      </c>
      <c r="P289" s="419">
        <f>F289*P59</f>
        <v>300000</v>
      </c>
      <c r="Q289" s="420">
        <f>F289*Q59</f>
        <v>300000</v>
      </c>
      <c r="R289" s="590">
        <f>F289*R59</f>
        <v>150000</v>
      </c>
    </row>
    <row r="290" spans="2:18" ht="15" customHeight="1">
      <c r="B290" s="528" t="s">
        <v>315</v>
      </c>
      <c r="C290" s="175"/>
      <c r="D290" s="308"/>
      <c r="E290" s="900"/>
      <c r="F290" s="901"/>
      <c r="G290" s="748"/>
      <c r="I290" s="416"/>
      <c r="J290" s="417"/>
      <c r="K290" s="418"/>
      <c r="L290" s="419"/>
      <c r="M290" s="420"/>
      <c r="N290" s="417"/>
      <c r="O290" s="418"/>
      <c r="P290" s="419"/>
      <c r="Q290" s="420"/>
      <c r="R290" s="590"/>
    </row>
    <row r="291" spans="2:18" ht="15" customHeight="1">
      <c r="B291" s="528" t="s">
        <v>316</v>
      </c>
      <c r="C291" s="175"/>
      <c r="D291" s="308" t="s">
        <v>245</v>
      </c>
      <c r="E291" s="900">
        <f>D55</f>
        <v>54</v>
      </c>
      <c r="F291" s="901">
        <v>100000</v>
      </c>
      <c r="G291" s="902">
        <f>E291*F291</f>
        <v>5400000</v>
      </c>
      <c r="I291" s="416">
        <f>F291*I59</f>
        <v>300000</v>
      </c>
      <c r="J291" s="417">
        <f>F291*J59</f>
        <v>600000</v>
      </c>
      <c r="K291" s="418">
        <f>F291*K59</f>
        <v>600000</v>
      </c>
      <c r="L291" s="419">
        <f>F291*L59</f>
        <v>600000</v>
      </c>
      <c r="M291" s="420">
        <f>F291*M59</f>
        <v>600000</v>
      </c>
      <c r="N291" s="417">
        <f>F291*N59</f>
        <v>600000</v>
      </c>
      <c r="O291" s="418">
        <f>F291*O59</f>
        <v>600000</v>
      </c>
      <c r="P291" s="419">
        <f>F291*P59</f>
        <v>600000</v>
      </c>
      <c r="Q291" s="420">
        <f>F291*Q59</f>
        <v>600000</v>
      </c>
      <c r="R291" s="590">
        <f>F291*R59</f>
        <v>300000</v>
      </c>
    </row>
    <row r="292" spans="2:18" ht="15" customHeight="1">
      <c r="B292" s="177" t="s">
        <v>317</v>
      </c>
      <c r="C292" s="175"/>
      <c r="D292" s="308" t="s">
        <v>245</v>
      </c>
      <c r="E292" s="900">
        <f>SUM(M59:R59)</f>
        <v>33</v>
      </c>
      <c r="F292" s="901">
        <v>5000</v>
      </c>
      <c r="G292" s="748">
        <f>E292*F292</f>
        <v>165000</v>
      </c>
      <c r="I292" s="416"/>
      <c r="J292" s="417"/>
      <c r="K292" s="418"/>
      <c r="L292" s="419"/>
      <c r="M292" s="420">
        <f>F292*M59</f>
        <v>30000</v>
      </c>
      <c r="N292" s="417">
        <f>F292*N59</f>
        <v>30000</v>
      </c>
      <c r="O292" s="418">
        <f>F292*O59</f>
        <v>30000</v>
      </c>
      <c r="P292" s="419">
        <f>F292*P59</f>
        <v>30000</v>
      </c>
      <c r="Q292" s="420">
        <f>F292*Q59</f>
        <v>30000</v>
      </c>
      <c r="R292" s="590">
        <f>F292*R59</f>
        <v>15000</v>
      </c>
    </row>
    <row r="293" spans="2:18" ht="15" customHeight="1">
      <c r="B293" s="177" t="s">
        <v>318</v>
      </c>
      <c r="C293" s="175"/>
      <c r="D293" s="308" t="s">
        <v>245</v>
      </c>
      <c r="E293" s="900">
        <v>0</v>
      </c>
      <c r="F293" s="901">
        <v>12000</v>
      </c>
      <c r="G293" s="748">
        <f>E293*F293</f>
        <v>0</v>
      </c>
      <c r="I293" s="416"/>
      <c r="J293" s="417"/>
      <c r="K293" s="418"/>
      <c r="L293" s="419"/>
      <c r="M293" s="420"/>
      <c r="N293" s="417"/>
      <c r="O293" s="418"/>
      <c r="P293" s="419"/>
      <c r="Q293" s="420"/>
      <c r="R293" s="590"/>
    </row>
    <row r="294" spans="2:18" ht="15" customHeight="1">
      <c r="B294" s="177" t="s">
        <v>319</v>
      </c>
      <c r="C294" s="175"/>
      <c r="D294" s="308" t="s">
        <v>245</v>
      </c>
      <c r="E294" s="900">
        <v>0</v>
      </c>
      <c r="F294" s="901">
        <v>15000</v>
      </c>
      <c r="G294" s="748">
        <f>E294*F294</f>
        <v>0</v>
      </c>
      <c r="I294" s="416"/>
      <c r="J294" s="417"/>
      <c r="K294" s="418"/>
      <c r="L294" s="419"/>
      <c r="M294" s="420"/>
      <c r="N294" s="417"/>
      <c r="O294" s="418"/>
      <c r="P294" s="419"/>
      <c r="Q294" s="420"/>
      <c r="R294" s="590"/>
    </row>
    <row r="295" spans="2:18" ht="15" customHeight="1">
      <c r="B295" s="394" t="s">
        <v>320</v>
      </c>
      <c r="C295" s="175"/>
      <c r="D295" s="308" t="s">
        <v>321</v>
      </c>
      <c r="E295" s="900">
        <v>8</v>
      </c>
      <c r="F295" s="901">
        <v>400000</v>
      </c>
      <c r="G295" s="748">
        <f>E295*F295</f>
        <v>3200000</v>
      </c>
      <c r="H295" s="794"/>
      <c r="I295" s="416"/>
      <c r="J295" s="417"/>
      <c r="K295" s="418"/>
      <c r="L295" s="419"/>
      <c r="M295" s="420">
        <f>G295/6</f>
        <v>533333.33333333337</v>
      </c>
      <c r="N295" s="417">
        <f>G295/6</f>
        <v>533333.33333333337</v>
      </c>
      <c r="O295" s="418">
        <f>G295/6</f>
        <v>533333.33333333337</v>
      </c>
      <c r="P295" s="419">
        <f>G295/6</f>
        <v>533333.33333333337</v>
      </c>
      <c r="Q295" s="420">
        <f>G295/6</f>
        <v>533333.33333333337</v>
      </c>
      <c r="R295" s="590">
        <f>G295/6</f>
        <v>533333.33333333337</v>
      </c>
    </row>
    <row r="296" spans="2:18" ht="15" customHeight="1">
      <c r="B296" s="903"/>
      <c r="C296" s="175"/>
      <c r="D296" s="308"/>
      <c r="E296" s="900"/>
      <c r="F296" s="901"/>
      <c r="G296" s="904"/>
      <c r="I296" s="416"/>
      <c r="J296" s="417"/>
      <c r="K296" s="418"/>
      <c r="L296" s="419"/>
      <c r="M296" s="420"/>
      <c r="N296" s="417"/>
      <c r="O296" s="418"/>
      <c r="P296" s="419"/>
      <c r="Q296" s="420"/>
      <c r="R296" s="590"/>
    </row>
    <row r="297" spans="2:18" ht="15" customHeight="1">
      <c r="B297" s="508" t="s">
        <v>322</v>
      </c>
      <c r="C297" s="334"/>
      <c r="D297" s="335"/>
      <c r="E297" s="336"/>
      <c r="F297" s="406"/>
      <c r="G297" s="407">
        <f>SUM(G289:G296)</f>
        <v>10865000</v>
      </c>
      <c r="I297" s="416"/>
      <c r="J297" s="417"/>
      <c r="K297" s="418"/>
      <c r="L297" s="419"/>
      <c r="M297" s="420"/>
      <c r="N297" s="417"/>
      <c r="O297" s="418"/>
      <c r="P297" s="419"/>
      <c r="Q297" s="420"/>
      <c r="R297" s="590"/>
    </row>
    <row r="298" spans="2:18" ht="15" customHeight="1">
      <c r="B298" s="881"/>
      <c r="C298" s="514"/>
      <c r="D298" s="515"/>
      <c r="E298" s="609" t="s">
        <v>154</v>
      </c>
      <c r="F298" s="882" t="s">
        <v>83</v>
      </c>
      <c r="G298" s="883">
        <f>G297/C35</f>
        <v>925.94170785750805</v>
      </c>
      <c r="I298" s="416"/>
      <c r="J298" s="417"/>
      <c r="K298" s="418"/>
      <c r="L298" s="419"/>
      <c r="M298" s="420"/>
      <c r="N298" s="417"/>
      <c r="O298" s="418"/>
      <c r="P298" s="419"/>
      <c r="Q298" s="420"/>
      <c r="R298" s="590"/>
    </row>
    <row r="299" spans="2:18" ht="15" customHeight="1">
      <c r="B299" s="721"/>
      <c r="C299" s="164"/>
      <c r="D299" s="344"/>
      <c r="E299" s="348"/>
      <c r="F299" s="884" t="s">
        <v>84</v>
      </c>
      <c r="G299" s="782">
        <f>G297/C16</f>
        <v>699.38847763115541</v>
      </c>
      <c r="I299" s="416"/>
      <c r="J299" s="417"/>
      <c r="K299" s="418"/>
      <c r="L299" s="419"/>
      <c r="M299" s="420"/>
      <c r="N299" s="417"/>
      <c r="O299" s="418"/>
      <c r="P299" s="419"/>
      <c r="Q299" s="420"/>
      <c r="R299" s="590"/>
    </row>
    <row r="300" spans="2:18" ht="15" customHeight="1" thickBot="1">
      <c r="B300" s="723"/>
      <c r="C300" s="350"/>
      <c r="D300" s="351"/>
      <c r="E300" s="352"/>
      <c r="F300" s="905" t="s">
        <v>155</v>
      </c>
      <c r="G300" s="906">
        <f>G297/G303</f>
        <v>5.3368107217222037E-3</v>
      </c>
      <c r="I300" s="907"/>
      <c r="J300" s="908"/>
      <c r="K300" s="909"/>
      <c r="L300" s="910"/>
      <c r="M300" s="911"/>
      <c r="N300" s="908"/>
      <c r="O300" s="909"/>
      <c r="P300" s="910"/>
      <c r="Q300" s="911"/>
      <c r="R300" s="912"/>
    </row>
    <row r="301" spans="2:18" ht="20" customHeight="1">
      <c r="B301" s="274"/>
      <c r="C301" s="164"/>
      <c r="D301" s="344"/>
      <c r="E301" s="348"/>
      <c r="F301" s="884"/>
      <c r="G301" s="913"/>
    </row>
    <row r="302" spans="2:18" ht="20" customHeight="1" thickBot="1">
      <c r="B302" s="350"/>
      <c r="C302" s="350"/>
      <c r="D302" s="351"/>
      <c r="E302" s="352"/>
      <c r="F302" s="914"/>
      <c r="G302" s="915"/>
      <c r="H302" s="141" t="s">
        <v>3</v>
      </c>
    </row>
    <row r="303" spans="2:18" ht="30" customHeight="1" thickBot="1">
      <c r="B303" s="797" t="s">
        <v>323</v>
      </c>
      <c r="C303" s="798"/>
      <c r="D303" s="799"/>
      <c r="E303" s="799"/>
      <c r="F303" s="800"/>
      <c r="G303" s="801">
        <f>G283+G297+G270</f>
        <v>2035860098.1999664</v>
      </c>
      <c r="I303" s="916">
        <f t="shared" ref="I303:R303" si="7">SUM(I62:I267)+I279+I281+SUM(I288:I300)</f>
        <v>8936592.9856037144</v>
      </c>
      <c r="J303" s="917">
        <f t="shared" si="7"/>
        <v>478510780.4088273</v>
      </c>
      <c r="K303" s="918">
        <f t="shared" si="7"/>
        <v>40932871.096447177</v>
      </c>
      <c r="L303" s="919">
        <f t="shared" si="7"/>
        <v>50537031.78406705</v>
      </c>
      <c r="M303" s="920">
        <f t="shared" si="7"/>
        <v>59281349.266874932</v>
      </c>
      <c r="N303" s="917">
        <f t="shared" si="7"/>
        <v>159265514.76283264</v>
      </c>
      <c r="O303" s="918">
        <f t="shared" si="7"/>
        <v>301010886.86958081</v>
      </c>
      <c r="P303" s="919">
        <f t="shared" si="7"/>
        <v>308947933.97632903</v>
      </c>
      <c r="Q303" s="920">
        <f t="shared" si="7"/>
        <v>423405202.87919736</v>
      </c>
      <c r="R303" s="921">
        <f t="shared" si="7"/>
        <v>205031934.17020646</v>
      </c>
    </row>
    <row r="304" spans="2:18" ht="15" customHeight="1" thickBot="1">
      <c r="H304" s="922" t="s">
        <v>324</v>
      </c>
      <c r="I304" s="923">
        <f>I303</f>
        <v>8936592.9856037144</v>
      </c>
      <c r="J304" s="924">
        <f>I304+J303</f>
        <v>487447373.39443099</v>
      </c>
      <c r="K304" s="925">
        <f t="shared" ref="K304:R304" si="8">J304+K303</f>
        <v>528380244.49087816</v>
      </c>
      <c r="L304" s="926">
        <f t="shared" si="8"/>
        <v>578917276.27494526</v>
      </c>
      <c r="M304" s="927">
        <f t="shared" si="8"/>
        <v>638198625.54182017</v>
      </c>
      <c r="N304" s="924">
        <f t="shared" si="8"/>
        <v>797464140.30465281</v>
      </c>
      <c r="O304" s="925">
        <f t="shared" si="8"/>
        <v>1098475027.1742337</v>
      </c>
      <c r="P304" s="926">
        <f t="shared" si="8"/>
        <v>1407422961.1505628</v>
      </c>
      <c r="Q304" s="927">
        <f t="shared" si="8"/>
        <v>1830828164.0297601</v>
      </c>
      <c r="R304" s="928">
        <f t="shared" si="8"/>
        <v>2035860098.1999667</v>
      </c>
    </row>
    <row r="305" spans="2:18" ht="15" customHeight="1">
      <c r="B305" s="274"/>
      <c r="C305" s="274"/>
      <c r="D305" s="929"/>
      <c r="E305" s="1513" t="s">
        <v>154</v>
      </c>
      <c r="F305" s="930" t="s">
        <v>83</v>
      </c>
      <c r="G305" s="931">
        <f>G303/C35</f>
        <v>173500.9458155758</v>
      </c>
    </row>
    <row r="306" spans="2:18" ht="15" customHeight="1">
      <c r="B306" s="274"/>
      <c r="C306" s="274"/>
      <c r="D306" s="929"/>
      <c r="E306" s="1514"/>
      <c r="F306" s="932" t="s">
        <v>84</v>
      </c>
      <c r="G306" s="933">
        <f>G303/C16</f>
        <v>131049.89367235059</v>
      </c>
    </row>
    <row r="307" spans="2:18" ht="15" customHeight="1">
      <c r="B307" s="274"/>
      <c r="C307" s="274"/>
      <c r="D307" s="929"/>
      <c r="E307" s="1515"/>
      <c r="F307" s="934" t="s">
        <v>81</v>
      </c>
      <c r="G307" s="935">
        <f>G303/C19</f>
        <v>25031.707965753736</v>
      </c>
      <c r="I307" s="149"/>
      <c r="J307" s="149"/>
      <c r="K307" s="149"/>
      <c r="L307" s="149"/>
    </row>
    <row r="308" spans="2:18" ht="15" customHeight="1">
      <c r="B308" s="274"/>
      <c r="C308" s="274"/>
      <c r="D308" s="929"/>
      <c r="E308" s="345"/>
      <c r="F308" s="936"/>
      <c r="G308" s="937"/>
      <c r="I308" s="149"/>
      <c r="J308" s="149"/>
      <c r="K308" s="149"/>
      <c r="L308" s="149"/>
    </row>
    <row r="309" spans="2:18" ht="15" customHeight="1">
      <c r="B309" s="274"/>
      <c r="C309" s="274"/>
      <c r="D309" s="929"/>
      <c r="E309" s="345"/>
      <c r="F309" s="936"/>
      <c r="G309" s="937"/>
      <c r="I309" s="149"/>
      <c r="J309" s="149"/>
      <c r="K309" s="149"/>
      <c r="L309" s="149"/>
    </row>
    <row r="310" spans="2:18" ht="15" customHeight="1" thickBot="1">
      <c r="B310" s="274"/>
      <c r="C310" s="274"/>
      <c r="D310" s="929"/>
      <c r="E310" s="929"/>
      <c r="F310" s="938"/>
      <c r="G310" s="939"/>
      <c r="I310" s="149"/>
      <c r="J310" s="149"/>
      <c r="K310" s="149"/>
      <c r="L310" s="149"/>
    </row>
    <row r="311" spans="2:18" ht="15" customHeight="1">
      <c r="B311" s="1487" t="s">
        <v>325</v>
      </c>
      <c r="C311" s="1488"/>
      <c r="D311" s="1488"/>
      <c r="E311" s="1488"/>
      <c r="F311" s="1488"/>
      <c r="G311" s="1489"/>
      <c r="I311" s="149"/>
      <c r="J311" s="149"/>
      <c r="K311" s="149"/>
      <c r="L311" s="149"/>
    </row>
    <row r="312" spans="2:18" ht="15" customHeight="1" thickBot="1">
      <c r="B312" s="1490"/>
      <c r="C312" s="1491"/>
      <c r="D312" s="1491"/>
      <c r="E312" s="1491"/>
      <c r="F312" s="1491"/>
      <c r="G312" s="1492"/>
      <c r="I312" s="940"/>
      <c r="J312" s="940"/>
      <c r="K312" s="940"/>
      <c r="L312" s="940"/>
    </row>
    <row r="313" spans="2:18" ht="15" customHeight="1" thickBot="1">
      <c r="B313" s="274"/>
      <c r="C313" s="274"/>
      <c r="E313" s="794"/>
      <c r="F313" s="938" t="s">
        <v>326</v>
      </c>
      <c r="G313" s="939" t="s">
        <v>327</v>
      </c>
      <c r="I313" s="1493" t="s">
        <v>328</v>
      </c>
      <c r="J313" s="1494"/>
      <c r="K313" s="1494"/>
      <c r="L313" s="1495"/>
      <c r="M313" s="941"/>
    </row>
    <row r="314" spans="2:18" ht="15" customHeight="1">
      <c r="B314" s="1496" t="s">
        <v>329</v>
      </c>
      <c r="C314" s="1497"/>
      <c r="D314" s="1497"/>
      <c r="E314" s="1497"/>
      <c r="F314" s="1497"/>
      <c r="G314" s="1498"/>
      <c r="I314" s="942" t="s">
        <v>73</v>
      </c>
      <c r="J314" s="943" t="s">
        <v>330</v>
      </c>
      <c r="K314" s="944" t="s">
        <v>331</v>
      </c>
      <c r="L314" s="196" t="s">
        <v>332</v>
      </c>
      <c r="N314" s="941"/>
    </row>
    <row r="315" spans="2:18" ht="15" customHeight="1">
      <c r="B315" s="945" t="s">
        <v>216</v>
      </c>
      <c r="C315" s="294"/>
      <c r="D315" s="686" t="s">
        <v>73</v>
      </c>
      <c r="E315" s="946">
        <f>C25</f>
        <v>10410</v>
      </c>
      <c r="F315" s="947">
        <v>220000</v>
      </c>
      <c r="G315" s="948">
        <f>+F315*E315</f>
        <v>2290200000</v>
      </c>
      <c r="H315" s="949"/>
      <c r="I315" s="950">
        <v>25</v>
      </c>
      <c r="J315" s="951">
        <f>F315</f>
        <v>220000</v>
      </c>
      <c r="K315" s="952">
        <f>I315*J315</f>
        <v>5500000</v>
      </c>
      <c r="L315" s="953">
        <f>K315*1.12</f>
        <v>6160000.0000000009</v>
      </c>
      <c r="N315" s="954"/>
      <c r="O315" s="954"/>
      <c r="P315" s="954"/>
      <c r="Q315" s="954"/>
      <c r="R315" s="954"/>
    </row>
    <row r="316" spans="2:18" ht="15" customHeight="1">
      <c r="B316" s="177" t="s">
        <v>86</v>
      </c>
      <c r="C316" s="955"/>
      <c r="D316" s="443" t="s">
        <v>73</v>
      </c>
      <c r="E316" s="956">
        <f>C26</f>
        <v>0</v>
      </c>
      <c r="F316" s="467">
        <v>0</v>
      </c>
      <c r="G316" s="957">
        <f>+F316*E316</f>
        <v>0</v>
      </c>
      <c r="H316" s="949"/>
      <c r="I316" s="958"/>
      <c r="J316" s="959"/>
      <c r="K316" s="959"/>
      <c r="L316" s="960"/>
      <c r="M316" s="961"/>
      <c r="O316" s="962"/>
      <c r="P316" s="962"/>
      <c r="Q316" s="962"/>
      <c r="R316" s="962"/>
    </row>
    <row r="317" spans="2:18" ht="15" customHeight="1">
      <c r="B317" s="177" t="s">
        <v>86</v>
      </c>
      <c r="C317" s="955"/>
      <c r="D317" s="443" t="s">
        <v>73</v>
      </c>
      <c r="E317" s="956">
        <f>C27</f>
        <v>0</v>
      </c>
      <c r="F317" s="467">
        <v>0</v>
      </c>
      <c r="G317" s="957">
        <f>+F317*E317</f>
        <v>0</v>
      </c>
      <c r="H317" s="949"/>
      <c r="I317" s="963"/>
      <c r="J317" s="217"/>
      <c r="K317" s="217"/>
      <c r="L317" s="964"/>
      <c r="M317" s="961"/>
      <c r="N317" s="965"/>
      <c r="O317" s="962"/>
      <c r="P317" s="962"/>
      <c r="Q317" s="962"/>
      <c r="R317" s="962"/>
    </row>
    <row r="318" spans="2:18" ht="15" customHeight="1">
      <c r="B318" s="177" t="s">
        <v>86</v>
      </c>
      <c r="C318" s="955"/>
      <c r="D318" s="443" t="s">
        <v>73</v>
      </c>
      <c r="E318" s="956">
        <f>C28</f>
        <v>1324</v>
      </c>
      <c r="F318" s="467">
        <v>0</v>
      </c>
      <c r="G318" s="957">
        <f>+F318*E318</f>
        <v>0</v>
      </c>
      <c r="H318" s="949"/>
      <c r="I318" s="966"/>
      <c r="J318" s="967"/>
      <c r="K318" s="967"/>
      <c r="L318" s="227"/>
      <c r="M318" s="961"/>
      <c r="N318" s="965"/>
      <c r="O318" s="962"/>
      <c r="P318" s="962"/>
      <c r="Q318" s="962"/>
      <c r="R318" s="962"/>
    </row>
    <row r="319" spans="2:18" ht="15" customHeight="1">
      <c r="B319" s="177" t="s">
        <v>217</v>
      </c>
      <c r="C319" s="955"/>
      <c r="D319" s="443" t="s">
        <v>73</v>
      </c>
      <c r="E319" s="956">
        <f>C28</f>
        <v>1324</v>
      </c>
      <c r="F319" s="467">
        <v>160000</v>
      </c>
      <c r="G319" s="957">
        <f>+F319*E319</f>
        <v>211840000</v>
      </c>
      <c r="H319" s="949"/>
      <c r="I319" s="950">
        <v>30</v>
      </c>
      <c r="J319" s="951">
        <f>F315</f>
        <v>220000</v>
      </c>
      <c r="K319" s="952">
        <f>I319*J319</f>
        <v>6600000</v>
      </c>
      <c r="L319" s="953">
        <f>K319*1.12</f>
        <v>7392000.0000000009</v>
      </c>
      <c r="M319" s="941"/>
      <c r="N319" s="965"/>
      <c r="O319" s="962"/>
      <c r="P319" s="962"/>
      <c r="Q319" s="962"/>
      <c r="R319" s="962"/>
    </row>
    <row r="320" spans="2:18" ht="15" customHeight="1" thickBot="1">
      <c r="B320" s="177" t="s">
        <v>333</v>
      </c>
      <c r="C320" s="537"/>
      <c r="D320" s="443" t="s">
        <v>73</v>
      </c>
      <c r="E320" s="180">
        <f>C30</f>
        <v>0</v>
      </c>
      <c r="F320" s="467">
        <v>0</v>
      </c>
      <c r="G320" s="968">
        <f>E320*F320</f>
        <v>0</v>
      </c>
      <c r="H320" s="949"/>
      <c r="I320" s="969">
        <v>35</v>
      </c>
      <c r="J320" s="970">
        <f>F315</f>
        <v>220000</v>
      </c>
      <c r="K320" s="971">
        <f>I320*J320</f>
        <v>7700000</v>
      </c>
      <c r="L320" s="972">
        <f>K320*1.12</f>
        <v>8624000</v>
      </c>
      <c r="M320" s="973"/>
      <c r="N320" s="974"/>
      <c r="O320" s="962"/>
      <c r="P320" s="962"/>
      <c r="Q320" s="962"/>
      <c r="R320" s="962"/>
    </row>
    <row r="321" spans="2:15" ht="15" customHeight="1">
      <c r="B321" s="177" t="s">
        <v>220</v>
      </c>
      <c r="C321" s="175" t="s">
        <v>3</v>
      </c>
      <c r="D321" s="443" t="s">
        <v>91</v>
      </c>
      <c r="E321" s="180">
        <f>C31</f>
        <v>0</v>
      </c>
      <c r="F321" s="467">
        <v>0</v>
      </c>
      <c r="G321" s="975">
        <f>+F321*E321</f>
        <v>0</v>
      </c>
      <c r="H321" s="949"/>
      <c r="I321" s="976"/>
      <c r="J321" s="976"/>
      <c r="K321" s="976"/>
      <c r="L321" s="977"/>
      <c r="M321" s="961"/>
      <c r="N321" s="978"/>
      <c r="O321" s="962"/>
    </row>
    <row r="322" spans="2:15" ht="15" customHeight="1">
      <c r="B322" s="177" t="s">
        <v>334</v>
      </c>
      <c r="C322" s="537"/>
      <c r="D322" s="443" t="s">
        <v>91</v>
      </c>
      <c r="E322" s="180">
        <f>C33</f>
        <v>120</v>
      </c>
      <c r="F322" s="979">
        <v>1300000</v>
      </c>
      <c r="G322" s="975">
        <f>+F322*E322</f>
        <v>156000000</v>
      </c>
      <c r="H322" s="949"/>
      <c r="I322" s="976"/>
      <c r="J322" s="976"/>
      <c r="K322" s="976"/>
      <c r="L322" s="977"/>
      <c r="M322" s="961"/>
      <c r="N322" s="965"/>
      <c r="O322" s="962"/>
    </row>
    <row r="323" spans="2:15" ht="15" customHeight="1">
      <c r="B323" s="980" t="s">
        <v>335</v>
      </c>
      <c r="C323" s="569"/>
      <c r="D323" s="541" t="s">
        <v>91</v>
      </c>
      <c r="E323" s="695">
        <f>C34</f>
        <v>0</v>
      </c>
      <c r="F323" s="981">
        <v>0</v>
      </c>
      <c r="G323" s="982">
        <f>+F323*E323</f>
        <v>0</v>
      </c>
      <c r="H323" s="983"/>
      <c r="I323" s="582"/>
      <c r="J323" s="582"/>
      <c r="K323" s="582"/>
      <c r="L323" s="794"/>
      <c r="M323" s="965"/>
      <c r="N323" s="965"/>
      <c r="O323" s="962"/>
    </row>
    <row r="324" spans="2:15" ht="15" customHeight="1">
      <c r="B324" s="984" t="s">
        <v>336</v>
      </c>
      <c r="C324" s="985"/>
      <c r="D324" s="986"/>
      <c r="E324" s="987"/>
      <c r="F324" s="988"/>
      <c r="G324" s="989">
        <f>SUM(G315:G323)</f>
        <v>2658040000</v>
      </c>
      <c r="H324" s="949"/>
      <c r="I324" s="990"/>
      <c r="J324" s="990"/>
      <c r="K324" s="990"/>
      <c r="M324" s="991"/>
      <c r="N324" s="991"/>
      <c r="O324" s="962"/>
    </row>
    <row r="325" spans="2:15" ht="15" customHeight="1">
      <c r="B325" s="881"/>
      <c r="C325" s="514"/>
      <c r="D325" s="515"/>
      <c r="E325" s="609" t="s">
        <v>154</v>
      </c>
      <c r="F325" s="882" t="s">
        <v>83</v>
      </c>
      <c r="G325" s="992">
        <f>G324/C35</f>
        <v>226524.62928242714</v>
      </c>
      <c r="H325" s="940"/>
      <c r="L325" s="793"/>
      <c r="M325" s="993"/>
      <c r="N325" s="965"/>
    </row>
    <row r="326" spans="2:15" ht="15" customHeight="1" thickBot="1">
      <c r="B326" s="723"/>
      <c r="C326" s="350"/>
      <c r="D326" s="351"/>
      <c r="E326" s="352"/>
      <c r="F326" s="905" t="s">
        <v>84</v>
      </c>
      <c r="G326" s="994">
        <f>G324/C16</f>
        <v>171100.09655616351</v>
      </c>
      <c r="H326" s="940"/>
      <c r="L326" s="793"/>
      <c r="M326" s="793"/>
    </row>
    <row r="327" spans="2:15" ht="15" customHeight="1" thickBot="1">
      <c r="B327" s="995"/>
      <c r="C327" s="164"/>
      <c r="D327" s="344"/>
      <c r="E327" s="348"/>
      <c r="F327" s="647"/>
      <c r="G327" s="996"/>
      <c r="H327" s="940"/>
      <c r="L327" s="793"/>
      <c r="M327" s="793"/>
    </row>
    <row r="328" spans="2:15" ht="15" customHeight="1">
      <c r="B328" s="1496" t="s">
        <v>337</v>
      </c>
      <c r="C328" s="1497"/>
      <c r="D328" s="1497"/>
      <c r="E328" s="1497"/>
      <c r="F328" s="1497"/>
      <c r="G328" s="1498"/>
      <c r="H328" s="940"/>
      <c r="L328" s="793"/>
      <c r="M328" s="793"/>
    </row>
    <row r="329" spans="2:15" ht="15" customHeight="1">
      <c r="B329" s="383" t="s">
        <v>338</v>
      </c>
      <c r="C329" s="457"/>
      <c r="D329" s="295"/>
      <c r="E329" s="739"/>
      <c r="F329" s="297"/>
      <c r="G329" s="997"/>
      <c r="H329" s="940"/>
      <c r="L329" s="793"/>
      <c r="M329" s="793"/>
    </row>
    <row r="330" spans="2:15" ht="15" customHeight="1">
      <c r="B330" s="394" t="s">
        <v>339</v>
      </c>
      <c r="C330" s="175"/>
      <c r="D330" s="308"/>
      <c r="E330" s="768"/>
      <c r="F330" s="321"/>
      <c r="G330" s="998"/>
      <c r="H330" s="940"/>
      <c r="L330" s="793"/>
      <c r="M330" s="793"/>
    </row>
    <row r="331" spans="2:15" ht="15" customHeight="1">
      <c r="B331" s="400" t="s">
        <v>340</v>
      </c>
      <c r="C331" s="751"/>
      <c r="D331" s="329"/>
      <c r="E331" s="752"/>
      <c r="F331" s="490"/>
      <c r="G331" s="999"/>
      <c r="H331" s="940"/>
      <c r="L331" s="793"/>
      <c r="M331" s="793"/>
    </row>
    <row r="332" spans="2:15" ht="15" customHeight="1">
      <c r="B332" s="984" t="s">
        <v>341</v>
      </c>
      <c r="C332" s="985"/>
      <c r="D332" s="986"/>
      <c r="E332" s="987"/>
      <c r="F332" s="988"/>
      <c r="G332" s="1000">
        <f>SUM(G327:G331)</f>
        <v>0</v>
      </c>
      <c r="H332" s="940"/>
      <c r="L332" s="793"/>
      <c r="M332" s="793"/>
    </row>
    <row r="333" spans="2:15" ht="15" customHeight="1">
      <c r="B333" s="881"/>
      <c r="C333" s="514"/>
      <c r="D333" s="515"/>
      <c r="E333" s="609" t="s">
        <v>154</v>
      </c>
      <c r="F333" s="882" t="s">
        <v>83</v>
      </c>
      <c r="G333" s="992">
        <f>G332/C35</f>
        <v>0</v>
      </c>
      <c r="H333" s="940"/>
      <c r="L333" s="793"/>
      <c r="M333" s="793"/>
    </row>
    <row r="334" spans="2:15" ht="15" customHeight="1">
      <c r="B334" s="721"/>
      <c r="C334" s="164"/>
      <c r="D334" s="344"/>
      <c r="E334" s="348"/>
      <c r="F334" s="884" t="s">
        <v>84</v>
      </c>
      <c r="G334" s="1001">
        <f>G332/C16</f>
        <v>0</v>
      </c>
      <c r="H334" s="940"/>
      <c r="L334" s="793"/>
      <c r="M334" s="793"/>
    </row>
    <row r="335" spans="2:15" ht="15" customHeight="1" thickBot="1">
      <c r="B335" s="723"/>
      <c r="C335" s="350"/>
      <c r="D335" s="351"/>
      <c r="E335" s="352"/>
      <c r="F335" s="905" t="s">
        <v>155</v>
      </c>
      <c r="G335" s="1002">
        <f>G332/G303</f>
        <v>0</v>
      </c>
      <c r="H335" s="940"/>
      <c r="L335" s="793"/>
      <c r="M335" s="793"/>
    </row>
    <row r="336" spans="2:15" ht="15" customHeight="1" thickBot="1">
      <c r="B336" s="1003"/>
      <c r="C336" s="164"/>
      <c r="D336" s="344"/>
      <c r="E336" s="348"/>
      <c r="F336" s="884"/>
      <c r="G336" s="1004"/>
      <c r="H336" s="940"/>
      <c r="L336" s="793"/>
      <c r="M336" s="793"/>
    </row>
    <row r="337" spans="2:13" ht="15" customHeight="1">
      <c r="B337" s="1496" t="s">
        <v>342</v>
      </c>
      <c r="C337" s="1497"/>
      <c r="D337" s="1497"/>
      <c r="E337" s="1497"/>
      <c r="F337" s="1497"/>
      <c r="G337" s="1498"/>
      <c r="H337" s="940"/>
      <c r="L337" s="793"/>
      <c r="M337" s="793"/>
    </row>
    <row r="338" spans="2:13" ht="15" customHeight="1">
      <c r="B338" s="945"/>
      <c r="C338" s="294"/>
      <c r="D338" s="686"/>
      <c r="E338" s="946" t="str">
        <f>C48</f>
        <v xml:space="preserve"> </v>
      </c>
      <c r="F338" s="947"/>
      <c r="G338" s="948"/>
      <c r="H338" s="940"/>
      <c r="L338" s="793"/>
      <c r="M338" s="793"/>
    </row>
    <row r="339" spans="2:13" ht="15" customHeight="1">
      <c r="B339" s="177"/>
      <c r="C339" s="955"/>
      <c r="D339" s="443"/>
      <c r="E339" s="956">
        <f>C49</f>
        <v>0</v>
      </c>
      <c r="F339" s="467"/>
      <c r="G339" s="957"/>
      <c r="H339" s="940"/>
      <c r="L339" s="793"/>
      <c r="M339" s="793"/>
    </row>
    <row r="340" spans="2:13" ht="15" customHeight="1">
      <c r="B340" s="980"/>
      <c r="C340" s="569"/>
      <c r="D340" s="541"/>
      <c r="E340" s="695">
        <f>C56</f>
        <v>0</v>
      </c>
      <c r="F340" s="981">
        <v>0</v>
      </c>
      <c r="G340" s="982"/>
      <c r="H340" s="940"/>
      <c r="L340" s="793"/>
      <c r="M340" s="793"/>
    </row>
    <row r="341" spans="2:13" ht="15" customHeight="1" thickBot="1">
      <c r="B341" s="1005" t="s">
        <v>289</v>
      </c>
      <c r="C341" s="1006"/>
      <c r="D341" s="1007"/>
      <c r="E341" s="1008"/>
      <c r="F341" s="1009"/>
      <c r="G341" s="1010">
        <v>0</v>
      </c>
      <c r="H341" s="940"/>
      <c r="L341" s="793"/>
      <c r="M341" s="793"/>
    </row>
    <row r="342" spans="2:13" ht="15" customHeight="1">
      <c r="B342" s="1003"/>
      <c r="C342" s="164"/>
      <c r="D342" s="344"/>
      <c r="E342" s="348"/>
      <c r="F342" s="884"/>
      <c r="G342" s="1004"/>
      <c r="H342" s="940"/>
      <c r="L342" s="793"/>
      <c r="M342" s="793"/>
    </row>
    <row r="343" spans="2:13" ht="15" customHeight="1" thickBot="1">
      <c r="B343" s="1011"/>
      <c r="G343" s="1012"/>
    </row>
    <row r="344" spans="2:13" ht="15" customHeight="1">
      <c r="B344" s="1011"/>
      <c r="E344" s="1499" t="s">
        <v>343</v>
      </c>
      <c r="F344" s="1500"/>
      <c r="G344" s="1503">
        <f>G324+G332+G341</f>
        <v>2658040000</v>
      </c>
    </row>
    <row r="345" spans="2:13" ht="15" customHeight="1" thickBot="1">
      <c r="B345" s="1011"/>
      <c r="E345" s="1501"/>
      <c r="F345" s="1502"/>
      <c r="G345" s="1504"/>
    </row>
    <row r="346" spans="2:13" ht="15" customHeight="1">
      <c r="B346" s="1011"/>
      <c r="E346" s="837"/>
      <c r="F346" s="837"/>
      <c r="G346" s="1013"/>
      <c r="H346" s="939"/>
    </row>
    <row r="347" spans="2:13" ht="15" customHeight="1">
      <c r="B347" s="1011"/>
      <c r="E347" s="1505" t="s">
        <v>154</v>
      </c>
      <c r="F347" s="1014" t="s">
        <v>83</v>
      </c>
      <c r="G347" s="1015">
        <f>G344/C35</f>
        <v>226524.62928242714</v>
      </c>
    </row>
    <row r="348" spans="2:13" ht="15" customHeight="1">
      <c r="B348" s="1016"/>
      <c r="C348" s="1017"/>
      <c r="D348" s="1017"/>
      <c r="E348" s="1506"/>
      <c r="F348" s="1018" t="s">
        <v>84</v>
      </c>
      <c r="G348" s="1019">
        <f>G344/C16</f>
        <v>171100.09655616351</v>
      </c>
    </row>
    <row r="349" spans="2:13" ht="15" customHeight="1"/>
    <row r="350" spans="2:13" ht="15" customHeight="1"/>
    <row r="351" spans="2:13" ht="15" customHeight="1"/>
    <row r="352" spans="2:13" ht="15" customHeight="1" thickBot="1"/>
    <row r="353" spans="2:7" ht="15" customHeight="1">
      <c r="B353" s="1529" t="s">
        <v>344</v>
      </c>
      <c r="C353" s="1530"/>
      <c r="D353" s="1530"/>
      <c r="E353" s="1530"/>
      <c r="F353" s="1530"/>
      <c r="G353" s="1531"/>
    </row>
    <row r="354" spans="2:7" ht="15" customHeight="1" thickBot="1">
      <c r="B354" s="1532"/>
      <c r="C354" s="1533"/>
      <c r="D354" s="1533"/>
      <c r="E354" s="1533"/>
      <c r="F354" s="1533"/>
      <c r="G354" s="1534"/>
    </row>
    <row r="355" spans="2:7" ht="15" customHeight="1" thickBot="1"/>
    <row r="356" spans="2:7" ht="15" customHeight="1">
      <c r="B356" s="1020" t="s">
        <v>345</v>
      </c>
      <c r="C356" s="1021"/>
      <c r="D356" s="1022"/>
      <c r="E356" s="1022"/>
      <c r="F356" s="1023"/>
      <c r="G356" s="1024">
        <f>G344-G303</f>
        <v>622179901.80003357</v>
      </c>
    </row>
    <row r="357" spans="2:7" ht="15" customHeight="1">
      <c r="B357" s="1025"/>
      <c r="C357" s="199"/>
      <c r="D357" s="199"/>
      <c r="E357" s="199"/>
      <c r="F357" s="1026" t="s">
        <v>346</v>
      </c>
      <c r="G357" s="1027">
        <f>G356/G303</f>
        <v>0.30561034245434765</v>
      </c>
    </row>
    <row r="358" spans="2:7" ht="15" customHeight="1">
      <c r="B358" s="1025"/>
      <c r="C358" s="199"/>
      <c r="D358" s="199"/>
      <c r="E358" s="199"/>
      <c r="F358" s="1026" t="s">
        <v>347</v>
      </c>
      <c r="G358" s="1028">
        <f>G356/G344</f>
        <v>0.23407469481273177</v>
      </c>
    </row>
    <row r="359" spans="2:7" ht="15" customHeight="1">
      <c r="B359" s="1029"/>
      <c r="C359" s="487"/>
      <c r="D359" s="487"/>
      <c r="E359" s="487"/>
      <c r="F359" s="1030"/>
      <c r="G359" s="1031"/>
    </row>
    <row r="360" spans="2:7" ht="15" customHeight="1">
      <c r="B360" s="1032"/>
      <c r="E360" s="1527" t="s">
        <v>154</v>
      </c>
      <c r="F360" s="1033" t="s">
        <v>83</v>
      </c>
      <c r="G360" s="1034">
        <f>G356/C35</f>
        <v>53023.683466851333</v>
      </c>
    </row>
    <row r="361" spans="2:7" ht="15" customHeight="1" thickBot="1">
      <c r="B361" s="1035"/>
      <c r="C361" s="1036"/>
      <c r="D361" s="1036"/>
      <c r="E361" s="1528"/>
      <c r="F361" s="1037" t="s">
        <v>84</v>
      </c>
      <c r="G361" s="1038">
        <f>G356/C16</f>
        <v>40050.202883812912</v>
      </c>
    </row>
    <row r="362" spans="2:7" ht="15" customHeight="1">
      <c r="F362" s="728"/>
      <c r="G362" s="794"/>
    </row>
    <row r="363" spans="2:7" ht="15" customHeight="1" thickBot="1">
      <c r="F363" s="728"/>
      <c r="G363" s="794"/>
    </row>
    <row r="364" spans="2:7" ht="15" customHeight="1">
      <c r="B364" s="1020" t="s">
        <v>348</v>
      </c>
      <c r="C364" s="1021"/>
      <c r="D364" s="1021"/>
      <c r="E364" s="1021"/>
      <c r="F364" s="1039"/>
      <c r="G364" s="1040">
        <f>G356</f>
        <v>622179901.80003357</v>
      </c>
    </row>
    <row r="365" spans="2:7" ht="15" customHeight="1">
      <c r="B365" s="593" t="s">
        <v>349</v>
      </c>
      <c r="C365" s="1041"/>
      <c r="D365" s="1041"/>
      <c r="E365" s="1041"/>
      <c r="F365" s="1042"/>
      <c r="G365" s="1043">
        <f>G91</f>
        <v>7767500</v>
      </c>
    </row>
    <row r="366" spans="2:7" ht="15" customHeight="1">
      <c r="B366" s="593" t="s">
        <v>350</v>
      </c>
      <c r="C366" s="1041"/>
      <c r="D366" s="1041"/>
      <c r="E366" s="1044">
        <f>G63</f>
        <v>440000000</v>
      </c>
      <c r="F366" s="1045">
        <v>145000000</v>
      </c>
      <c r="G366" s="1043">
        <f>E366-F366</f>
        <v>295000000</v>
      </c>
    </row>
    <row r="367" spans="2:7" ht="15" customHeight="1">
      <c r="B367" s="593"/>
      <c r="C367" s="1041"/>
      <c r="D367" s="1041"/>
      <c r="E367" s="1041"/>
      <c r="F367" s="1042"/>
      <c r="G367" s="1043"/>
    </row>
    <row r="368" spans="2:7" ht="15" customHeight="1">
      <c r="B368" s="593" t="s">
        <v>351</v>
      </c>
      <c r="C368" s="1041"/>
      <c r="D368" s="1041"/>
      <c r="E368" s="1041"/>
      <c r="F368" s="1042"/>
      <c r="G368" s="1043">
        <f>G364+G365+G366</f>
        <v>924947401.80003357</v>
      </c>
    </row>
    <row r="369" spans="2:8" ht="15" customHeight="1">
      <c r="B369" s="593" t="s">
        <v>352</v>
      </c>
      <c r="C369" s="1041"/>
      <c r="D369" s="1041"/>
      <c r="E369" s="1041"/>
      <c r="F369" s="1042"/>
      <c r="G369" s="1043">
        <v>0</v>
      </c>
      <c r="H369" s="141" t="s">
        <v>353</v>
      </c>
    </row>
    <row r="370" spans="2:8" ht="15" customHeight="1">
      <c r="B370" s="593" t="s">
        <v>354</v>
      </c>
      <c r="C370" s="1041"/>
      <c r="D370" s="1041"/>
      <c r="E370" s="1041"/>
      <c r="F370" s="1042"/>
      <c r="G370" s="1043">
        <f>G368-G369</f>
        <v>924947401.80003357</v>
      </c>
      <c r="H370" s="141" t="s">
        <v>355</v>
      </c>
    </row>
    <row r="371" spans="2:8" ht="15" customHeight="1" thickBot="1">
      <c r="B371" s="1046" t="s">
        <v>356</v>
      </c>
      <c r="C371" s="1047"/>
      <c r="D371" s="1048">
        <v>0.21</v>
      </c>
      <c r="E371" s="1047"/>
      <c r="F371" s="1049"/>
      <c r="G371" s="1050">
        <f>G370*21%</f>
        <v>194238954.37800705</v>
      </c>
      <c r="H371" s="141" t="s">
        <v>355</v>
      </c>
    </row>
    <row r="372" spans="2:8" ht="15" customHeight="1">
      <c r="F372" s="728"/>
      <c r="G372" s="794"/>
    </row>
    <row r="373" spans="2:8" ht="15" customHeight="1" thickBot="1"/>
    <row r="374" spans="2:8" ht="15" customHeight="1">
      <c r="B374" s="1051" t="s">
        <v>357</v>
      </c>
      <c r="C374" s="1021"/>
      <c r="D374" s="1022"/>
      <c r="E374" s="1022"/>
      <c r="F374" s="1023"/>
      <c r="G374" s="1024">
        <f>G356-G371</f>
        <v>427940947.42202652</v>
      </c>
    </row>
    <row r="375" spans="2:8" ht="15" customHeight="1">
      <c r="B375" s="1025"/>
      <c r="C375" s="199"/>
      <c r="D375" s="199"/>
      <c r="E375" s="199"/>
      <c r="F375" s="1026" t="s">
        <v>346</v>
      </c>
      <c r="G375" s="1052">
        <f>G374/G303</f>
        <v>0.21020154960569068</v>
      </c>
    </row>
    <row r="376" spans="2:8" ht="15" customHeight="1">
      <c r="B376" s="1025"/>
      <c r="C376" s="199"/>
      <c r="D376" s="199"/>
      <c r="E376" s="199"/>
      <c r="F376" s="1026" t="s">
        <v>347</v>
      </c>
      <c r="G376" s="1053">
        <f>G374/G344</f>
        <v>0.16099868603257533</v>
      </c>
    </row>
    <row r="377" spans="2:8" ht="15" customHeight="1">
      <c r="B377" s="1029"/>
      <c r="C377" s="487"/>
      <c r="D377" s="487"/>
      <c r="E377" s="487"/>
      <c r="F377" s="487"/>
      <c r="G377" s="1054"/>
    </row>
    <row r="378" spans="2:8" ht="15" customHeight="1">
      <c r="B378" s="1032"/>
      <c r="E378" s="1527" t="s">
        <v>154</v>
      </c>
      <c r="F378" s="1033" t="s">
        <v>83</v>
      </c>
      <c r="G378" s="1034">
        <f>G374/C35</f>
        <v>36470.167668487004</v>
      </c>
    </row>
    <row r="379" spans="2:8" ht="15" customHeight="1" thickBot="1">
      <c r="B379" s="1035"/>
      <c r="C379" s="1036"/>
      <c r="D379" s="1055"/>
      <c r="E379" s="1528"/>
      <c r="F379" s="1037" t="s">
        <v>84</v>
      </c>
      <c r="G379" s="1038">
        <f>G374/C16</f>
        <v>27546.890725589092</v>
      </c>
    </row>
    <row r="380" spans="2:8" ht="15" customHeight="1"/>
    <row r="381" spans="2:8" ht="15" customHeight="1">
      <c r="F381" s="582"/>
    </row>
    <row r="382" spans="2:8" ht="15" customHeight="1">
      <c r="E382" s="1056"/>
      <c r="F382" s="1057"/>
      <c r="G382" s="1058"/>
    </row>
    <row r="383" spans="2:8" ht="15" customHeight="1"/>
    <row r="384" spans="2:8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</sheetData>
  <mergeCells count="39">
    <mergeCell ref="B311:G312"/>
    <mergeCell ref="J57:K57"/>
    <mergeCell ref="J272:K272"/>
    <mergeCell ref="I19:M20"/>
    <mergeCell ref="G1:G2"/>
    <mergeCell ref="E378:E379"/>
    <mergeCell ref="I313:L313"/>
    <mergeCell ref="B314:G314"/>
    <mergeCell ref="B328:G328"/>
    <mergeCell ref="B337:G337"/>
    <mergeCell ref="E344:F345"/>
    <mergeCell ref="G344:G345"/>
    <mergeCell ref="E347:E348"/>
    <mergeCell ref="B353:G354"/>
    <mergeCell ref="E360:E361"/>
    <mergeCell ref="L272:M272"/>
    <mergeCell ref="N272:O272"/>
    <mergeCell ref="P272:Q272"/>
    <mergeCell ref="E305:E307"/>
    <mergeCell ref="I54:R55"/>
    <mergeCell ref="L57:M57"/>
    <mergeCell ref="N57:O57"/>
    <mergeCell ref="P57:Q57"/>
    <mergeCell ref="B58:G59"/>
    <mergeCell ref="H219:H222"/>
    <mergeCell ref="B4:G4"/>
    <mergeCell ref="B5:G7"/>
    <mergeCell ref="B9:G10"/>
    <mergeCell ref="C37:D37"/>
    <mergeCell ref="E37:F37"/>
    <mergeCell ref="M29:M31"/>
    <mergeCell ref="M33:M40"/>
    <mergeCell ref="M42:M44"/>
    <mergeCell ref="I42:J44"/>
    <mergeCell ref="I22:J22"/>
    <mergeCell ref="I24:J24"/>
    <mergeCell ref="I27:J27"/>
    <mergeCell ref="I33:J40"/>
    <mergeCell ref="I29:J31"/>
  </mergeCells>
  <printOptions horizontalCentered="1" verticalCentered="1"/>
  <pageMargins left="0.25" right="0.25" top="0.75" bottom="0.75" header="0.3" footer="0.3"/>
  <pageSetup paperSize="8" scale="59" fitToHeight="0" orientation="portrait" copies="2"/>
  <headerFooter alignWithMargins="0"/>
  <rowBreaks count="1" manualBreakCount="1">
    <brk id="196" min="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B8FCD-A87B-411E-AB1D-BE3E49AFF7B3}">
  <dimension ref="B2:K13"/>
  <sheetViews>
    <sheetView workbookViewId="0">
      <selection activeCell="G33" sqref="G33"/>
    </sheetView>
  </sheetViews>
  <sheetFormatPr baseColWidth="10" defaultColWidth="8.83203125" defaultRowHeight="15"/>
  <cols>
    <col min="3" max="3" width="48.83203125" bestFit="1" customWidth="1"/>
    <col min="4" max="4" width="22.5" bestFit="1" customWidth="1"/>
    <col min="5" max="5" width="26.6640625" bestFit="1" customWidth="1"/>
    <col min="6" max="6" width="20.5" bestFit="1" customWidth="1"/>
    <col min="7" max="7" width="13.6640625" bestFit="1" customWidth="1"/>
    <col min="8" max="8" width="20.5" bestFit="1" customWidth="1"/>
    <col min="9" max="9" width="17" customWidth="1"/>
    <col min="10" max="10" width="17.1640625" customWidth="1"/>
  </cols>
  <sheetData>
    <row r="2" spans="2:11">
      <c r="C2" s="1341"/>
      <c r="D2" s="1341"/>
      <c r="E2" s="1353" t="s">
        <v>493</v>
      </c>
      <c r="F2" s="1566">
        <v>0.1</v>
      </c>
      <c r="G2" s="1342"/>
      <c r="H2" s="1342"/>
      <c r="I2" s="1342"/>
      <c r="J2" s="1341"/>
    </row>
    <row r="3" spans="2:11">
      <c r="C3" s="1341"/>
      <c r="D3" s="1341"/>
      <c r="E3" s="1341"/>
      <c r="F3" s="1341"/>
      <c r="G3" s="1341"/>
      <c r="H3" s="1341"/>
      <c r="I3" s="1341"/>
      <c r="J3" s="1341"/>
    </row>
    <row r="4" spans="2:11" ht="33" thickBot="1">
      <c r="B4" s="1344" t="s">
        <v>492</v>
      </c>
      <c r="C4" s="1345" t="s">
        <v>488</v>
      </c>
      <c r="D4" s="1345" t="s">
        <v>480</v>
      </c>
      <c r="E4" s="1345" t="s">
        <v>481</v>
      </c>
      <c r="F4" s="1345" t="s">
        <v>482</v>
      </c>
      <c r="G4" s="1535" t="s">
        <v>483</v>
      </c>
      <c r="H4" s="1536"/>
      <c r="I4" s="1346" t="s">
        <v>484</v>
      </c>
      <c r="J4" s="1370" t="s">
        <v>486</v>
      </c>
      <c r="K4" s="1370" t="s">
        <v>505</v>
      </c>
    </row>
    <row r="5" spans="2:11" ht="20" customHeight="1" thickTop="1">
      <c r="B5" s="1354" t="s">
        <v>489</v>
      </c>
      <c r="C5" s="1537" t="s">
        <v>487</v>
      </c>
      <c r="D5" s="1347">
        <v>250000000</v>
      </c>
      <c r="E5" s="1348">
        <f>kalkulace_VIZE!$D$55/12</f>
        <v>4.5</v>
      </c>
      <c r="F5" s="1347">
        <f>((D5*E5))*$F$2</f>
        <v>112500000</v>
      </c>
      <c r="G5" s="1355">
        <v>0.2</v>
      </c>
      <c r="H5" s="1349">
        <f>kalkulace_VIZE!G374*G5</f>
        <v>85588189.484405309</v>
      </c>
      <c r="I5" s="1347">
        <f>F5+H5</f>
        <v>198088189.48440531</v>
      </c>
      <c r="J5" s="1350">
        <f>I5/D5/E5</f>
        <v>0.17607839065280473</v>
      </c>
      <c r="K5" s="1350">
        <f>+(1+I5/D5)^(1/E5)-1</f>
        <v>0.1384562109342744</v>
      </c>
    </row>
    <row r="6" spans="2:11" ht="20" customHeight="1">
      <c r="B6" s="1356" t="s">
        <v>490</v>
      </c>
      <c r="C6" s="1538"/>
      <c r="D6" s="1358">
        <v>300000000</v>
      </c>
      <c r="E6" s="1359">
        <f>E5</f>
        <v>4.5</v>
      </c>
      <c r="F6" s="1351">
        <f>((D6*E6))*$F$2</f>
        <v>135000000</v>
      </c>
      <c r="G6" s="1360">
        <v>0.25</v>
      </c>
      <c r="H6" s="1361">
        <f>kalkulace_VIZE!G374*G6</f>
        <v>106985236.85550663</v>
      </c>
      <c r="I6" s="1362">
        <f>F6+H6</f>
        <v>241985236.85550663</v>
      </c>
      <c r="J6" s="1363">
        <f>I6/D6/E6</f>
        <v>0.17924832359667159</v>
      </c>
      <c r="K6" s="1363">
        <f t="shared" ref="K6:K7" si="0">+(1+I6/D6)^(1/E6)-1</f>
        <v>0.14046346803793663</v>
      </c>
    </row>
    <row r="7" spans="2:11" ht="20" customHeight="1">
      <c r="B7" s="1357" t="s">
        <v>491</v>
      </c>
      <c r="C7" s="1539"/>
      <c r="D7" s="1364">
        <v>350000000</v>
      </c>
      <c r="E7" s="1365">
        <f>E5</f>
        <v>4.5</v>
      </c>
      <c r="F7" s="1352">
        <f>((D7*E7))*$F$2</f>
        <v>157500000</v>
      </c>
      <c r="G7" s="1366">
        <v>0.3</v>
      </c>
      <c r="H7" s="1367">
        <f>kalkulace_VIZE!G374*G7</f>
        <v>128382284.22660795</v>
      </c>
      <c r="I7" s="1368">
        <f>F7+H7</f>
        <v>285882284.22660792</v>
      </c>
      <c r="J7" s="1369">
        <f>I7/D7/E7</f>
        <v>0.1815125614137193</v>
      </c>
      <c r="K7" s="1369">
        <f t="shared" si="0"/>
        <v>0.14188968901111565</v>
      </c>
    </row>
    <row r="8" spans="2:11">
      <c r="D8" s="1339"/>
    </row>
    <row r="11" spans="2:11">
      <c r="D11" s="1338"/>
      <c r="E11" s="1340"/>
    </row>
    <row r="12" spans="2:11">
      <c r="D12" s="1338"/>
    </row>
    <row r="13" spans="2:11">
      <c r="D13" s="1339"/>
    </row>
  </sheetData>
  <mergeCells count="2">
    <mergeCell ref="G4:H4"/>
    <mergeCell ref="C5:C7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F67D72C6A43C4BB825D89CE78E235E" ma:contentTypeVersion="16" ma:contentTypeDescription="Vytvoří nový dokument" ma:contentTypeScope="" ma:versionID="8b2d9cf47ef1933190bcd7d0218b8d91">
  <xsd:schema xmlns:xsd="http://www.w3.org/2001/XMLSchema" xmlns:xs="http://www.w3.org/2001/XMLSchema" xmlns:p="http://schemas.microsoft.com/office/2006/metadata/properties" xmlns:ns2="91111e47-277c-4b75-a4b3-ac468b86db83" xmlns:ns3="a69363ab-709e-47ce-b11c-cbea6b7f33b6" targetNamespace="http://schemas.microsoft.com/office/2006/metadata/properties" ma:root="true" ma:fieldsID="36e2a67fc570c8a53bab1541a3ad86e0" ns2:_="" ns3:_="">
    <xsd:import namespace="91111e47-277c-4b75-a4b3-ac468b86db83"/>
    <xsd:import namespace="a69363ab-709e-47ce-b11c-cbea6b7f33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11e47-277c-4b75-a4b3-ac468b86db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18236064-1149-4199-96bb-86be184f47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9363ab-709e-47ce-b11c-cbea6b7f33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05d8ef-8f94-4049-b0fd-84702edb3a7a}" ma:internalName="TaxCatchAll" ma:showField="CatchAllData" ma:web="a69363ab-709e-47ce-b11c-cbea6b7f33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H 0 E A A B Q S w M E F A A C A A g A t 1 I s W 4 q a D e m k A A A A 9 g A A A B I A H A B D b 2 5 m a W c v U G F j a 2 F n Z S 5 4 b W w g o h g A K K A U A A A A A A A A A A A A A A A A A A A A A A A A A A A A h Y 9 N D o I w G E S v Q r q n P 2 i U k I + y c C u J C d G 4 b W q F R i i G F s v d X H g k r y B G U X c u 5 8 1 b z N y v N 8 i G p g 4 u q r O 6 N S l i m K J A G d k e t C l T 1 L t j G K O M w 0 b I k y h V M M r G J o M 9 p K h y 7 p w Q 4 r 3 H f o b b r i Q R p Y z s 8 3 U h K 9 U I 9 J H 1 f z n U x j p h p E I c d q 8 x P M J s v s B s G W M K Z I K Q a / M V o n H v s / 2 B s O p r 1 3 e K K x N u C y B T B P L + w B 9 Q S w M E F A A C A A g A t 1 I s W 1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d S L F t p k M O O g A E A A M U C A A A T A B w A R m 9 y b X V s Y X M v U 2 V j d G l v b j E u b S C i G A A o o B Q A A A A A A A A A A A A A A A A A A A A A A A A A A A C N k k F r w j A U x + + C 3 y H U i 4 J z O M Y u 4 i G 2 Y X b t m m I j w 4 p I 1 c i c b S J p B E U 8 e N f 7 Y B 9 i h 5 0 9 V b / X o q I b 2 M F C I P D + 7 / 3 f 7 y W J a V + O O A P e 6 S x X s p l s J n 4 N B B 0 A A m t N 2 4 J d t 4 E N 9 O Q k m 6 5 r Y 7 3 e 6 u r I t t B z 1 7 D v y m V Q B S G V 2 Q x Q y x 8 I / q Y C a N a n Y U m f C k G Z f O F i 3 O N 8 n C 8 s 2 k 4 Q 0 a r 2 L 1 + t s 2 z r n E n l 0 C m e 7 H O a H + 0 + m N r J F s j 5 R F O t S N A L a Y m I g M V D L i K d h 9 O I k f m E x v k j T X G x 0 D x k 6 U g r H k o o C N h 8 W Q Q L D f s O 3 K 2 R 6 n 5 W 2 D T q U X E U m / u t S Z x k B Y 5 g M C X D g g Q 9 4 o Z 5 8 Z V 0 J k / G K u g Q e N 2 R t N z r 5 J p e x 4 a C A N c 8 5 z o X G z b c b 3 + E S 7 V h e i 7 2 T f 0 a Y r d 2 3 R T q G r Q t 7 K Q I N j b U y C h F I a g B v b Q b 8 J G t a F e 5 f D g s e G T / j n 5 d 1 A V d h Y 0 b 4 M N 6 I 1 k Z V p r N h O 8 2 V I J e E I 6 T L 7 b / B L d q C h H E K t V k 8 u G + d H j M 5 b K Q z Y z Y H 9 + g 8 g 1 Q S w E C L Q A U A A I A C A C 3 U i x b i p o N 6 a Q A A A D 2 A A A A E g A A A A A A A A A A A A A A A A A A A A A A Q 2 9 u Z m l n L 1 B h Y 2 t h Z 2 U u e G 1 s U E s B A i 0 A F A A C A A g A t 1 I s W 1 N y O C y b A A A A 4 Q A A A B M A A A A A A A A A A A A A A A A A 8 A A A A F t D b 2 5 0 Z W 5 0 X 1 R 5 c G V z X S 5 4 b W x Q S w E C L Q A U A A I A C A C 3 U i x b a Z D D j o A B A A D F A g A A E w A A A A A A A A A A A A A A A A D Y A Q A A R m 9 y b X V s Y X M v U 2 V j d G l v b j E u b V B L B Q Y A A A A A A w A D A M I A A A C l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e F Q A A A A A A A H w V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Q U J V T E t B X 1 B S T 0 R F S k 4 l Q z M l O E R f U E x P Q 0 h Z X 0 N F T E t F T V 9 E T D I x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Q 4 Y z E 3 N T U 1 L W R k N G E t N G I 5 N i 1 h Y z h i L T I 2 M D A 2 O W U y O D B l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W N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S 0 x M l Q w O D o y M T o z N y 4 y M D U 0 M z M 4 W i I g L z 4 8 R W 5 0 c n k g V H l w Z T 0 i R m l s b E N v b H V t b l R 5 c G V z I i B W Y W x 1 Z T 0 i c 0 F B V U Z C Z 0 F H Q U F Z R 0 J R V U Z C U U F G Q X c 9 P S I g L z 4 8 R W 5 0 c n k g V H l w Z T 0 i R m l s b E N v b H V t b k 5 h b W V z I i B W Y W x 1 Z T 0 i c 1 s m c X V v d D t T R U t D R S Z x d W 9 0 O y w m c X V v d D t P W k 5 B x I x F T s O N J n F 1 b 3 Q 7 L C Z x d W 9 0 O 1 X F v U l U T s O B I F B M T 0 N I Q S Z x d W 9 0 O y w m c X V v d D t L Q V R F R 0 9 S S U U m c X V v d D s s J n F 1 b 3 Q 7 T 1 J J R U 5 U Q U N F J n F 1 b 3 Q 7 L C Z x d W 9 0 O 1 R Z U C Z x d W 9 0 O y w m c X V v d D t P Q k N I T 0 R O w 4 0 g T 1 p O Q c S M R U 7 D j S Z x d W 9 0 O y w m c X V v d D t Q T 0 R M Q c W 9 w 4 0 m c X V v d D s s J n F 1 b 3 Q 7 R E l T U E 9 a S U N F J n F 1 b 3 Q 7 L C Z x d W 9 0 O 8 S M U F A m c X V v d D s s J n F 1 b 3 Q 7 Q k F M S 0 9 O J n F 1 b 3 Q 7 L C Z x d W 9 0 O 0 x P R M W 9 S U U m c X V v d D s s J n F 1 b 3 Q 7 V E V S Q V N B J n F 1 b 3 Q 7 L C Z x d W 9 0 O 1 p F T E V O w 4 F c b l N U x Z h F Q 0 h B J n F 1 b 3 Q 7 L C Z x d W 9 0 O 1 D F m E V E L S B a Q U h S w 4 F E S 0 E m c X V v d D s s J n F 1 b 3 Q 7 c G / E j W V 0 I G J h b G v D s 2 7 F r y A v I H R l c m F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B Q l V M S 0 F f U F J P R E V K T s O N X 1 B M T 0 N I W V 9 D R U x L R U 1 f R E w y M T E v Q X V 0 b 1 J l b W 9 2 Z W R D b 2 x 1 b W 5 z M S 5 7 U 0 V L Q 0 U s M H 0 m c X V v d D s s J n F 1 b 3 Q 7 U 2 V j d G l v b j E v V E F C V U x L Q V 9 Q U k 9 E R U p O w 4 1 f U E x P Q 0 h Z X 0 N F T E t F T V 9 E T D I x M S 9 B d X R v U m V t b 3 Z l Z E N v b H V t b n M x L n t P W k 5 B x I x F T s O N L D F 9 J n F 1 b 3 Q 7 L C Z x d W 9 0 O 1 N l Y 3 R p b 2 4 x L 1 R B Q l V M S 0 F f U F J P R E V K T s O N X 1 B M T 0 N I W V 9 D R U x L R U 1 f R E w y M T E v Q X V 0 b 1 J l b W 9 2 Z W R D b 2 x 1 b W 5 z M S 5 7 V c W 9 S V R O w 4 E g U E x P Q 0 h B L D J 9 J n F 1 b 3 Q 7 L C Z x d W 9 0 O 1 N l Y 3 R p b 2 4 x L 1 R B Q l V M S 0 F f U F J P R E V K T s O N X 1 B M T 0 N I W V 9 D R U x L R U 1 f R E w y M T E v Q X V 0 b 1 J l b W 9 2 Z W R D b 2 x 1 b W 5 z M S 5 7 S 0 F U R U d P U k l F L D N 9 J n F 1 b 3 Q 7 L C Z x d W 9 0 O 1 N l Y 3 R p b 2 4 x L 1 R B Q l V M S 0 F f U F J P R E V K T s O N X 1 B M T 0 N I W V 9 D R U x L R U 1 f R E w y M T E v Q X V 0 b 1 J l b W 9 2 Z W R D b 2 x 1 b W 5 z M S 5 7 T 1 J J R U 5 U Q U N F L D R 9 J n F 1 b 3 Q 7 L C Z x d W 9 0 O 1 N l Y 3 R p b 2 4 x L 1 R B Q l V M S 0 F f U F J P R E V K T s O N X 1 B M T 0 N I W V 9 D R U x L R U 1 f R E w y M T E v Q X V 0 b 1 J l b W 9 2 Z W R D b 2 x 1 b W 5 z M S 5 7 V F l Q L D V 9 J n F 1 b 3 Q 7 L C Z x d W 9 0 O 1 N l Y 3 R p b 2 4 x L 1 R B Q l V M S 0 F f U F J P R E V K T s O N X 1 B M T 0 N I W V 9 D R U x L R U 1 f R E w y M T E v Q X V 0 b 1 J l b W 9 2 Z W R D b 2 x 1 b W 5 z M S 5 7 T 0 J D S E 9 E T s O N I E 9 a T k H E j E V O w 4 0 s N n 0 m c X V v d D s s J n F 1 b 3 Q 7 U 2 V j d G l v b j E v V E F C V U x L Q V 9 Q U k 9 E R U p O w 4 1 f U E x P Q 0 h Z X 0 N F T E t F T V 9 E T D I x M S 9 B d X R v U m V t b 3 Z l Z E N v b H V t b n M x L n t Q T 0 R M Q c W 9 w 4 0 s N 3 0 m c X V v d D s s J n F 1 b 3 Q 7 U 2 V j d G l v b j E v V E F C V U x L Q V 9 Q U k 9 E R U p O w 4 1 f U E x P Q 0 h Z X 0 N F T E t F T V 9 E T D I x M S 9 B d X R v U m V t b 3 Z l Z E N v b H V t b n M x L n t E S V N Q T 1 p J Q 0 U s O H 0 m c X V v d D s s J n F 1 b 3 Q 7 U 2 V j d G l v b j E v V E F C V U x L Q V 9 Q U k 9 E R U p O w 4 1 f U E x P Q 0 h Z X 0 N F T E t F T V 9 E T D I x M S 9 B d X R v U m V t b 3 Z l Z E N v b H V t b n M x L n v E j F B Q L D l 9 J n F 1 b 3 Q 7 L C Z x d W 9 0 O 1 N l Y 3 R p b 2 4 x L 1 R B Q l V M S 0 F f U F J P R E V K T s O N X 1 B M T 0 N I W V 9 D R U x L R U 1 f R E w y M T E v Q X V 0 b 1 J l b W 9 2 Z W R D b 2 x 1 b W 5 z M S 5 7 Q k F M S 0 9 O L D E w f S Z x d W 9 0 O y w m c X V v d D t T Z W N 0 a W 9 u M S 9 U Q U J V T E t B X 1 B S T 0 R F S k 7 D j V 9 Q T E 9 D S F l f Q 0 V M S 0 V N X 0 R M M j E x L 0 F 1 d G 9 S Z W 1 v d m V k Q 2 9 s d W 1 u c z E u e 0 x P R M W 9 S U U s M T F 9 J n F 1 b 3 Q 7 L C Z x d W 9 0 O 1 N l Y 3 R p b 2 4 x L 1 R B Q l V M S 0 F f U F J P R E V K T s O N X 1 B M T 0 N I W V 9 D R U x L R U 1 f R E w y M T E v Q X V 0 b 1 J l b W 9 2 Z W R D b 2 x 1 b W 5 z M S 5 7 V E V S Q V N B L D E y f S Z x d W 9 0 O y w m c X V v d D t T Z W N 0 a W 9 u M S 9 U Q U J V T E t B X 1 B S T 0 R F S k 7 D j V 9 Q T E 9 D S F l f Q 0 V M S 0 V N X 0 R M M j E x L 0 F 1 d G 9 S Z W 1 v d m V k Q 2 9 s d W 1 u c z E u e 1 p F T E V O w 4 F c b l N U x Z h F Q 0 h B L D E z f S Z x d W 9 0 O y w m c X V v d D t T Z W N 0 a W 9 u M S 9 U Q U J V T E t B X 1 B S T 0 R F S k 7 D j V 9 Q T E 9 D S F l f Q 0 V M S 0 V N X 0 R M M j E x L 0 F 1 d G 9 S Z W 1 v d m V k Q 2 9 s d W 1 u c z E u e 1 D F m E V E L S B a Q U h S w 4 F E S 0 E s M T R 9 J n F 1 b 3 Q 7 L C Z x d W 9 0 O 1 N l Y 3 R p b 2 4 x L 1 R B Q l V M S 0 F f U F J P R E V K T s O N X 1 B M T 0 N I W V 9 D R U x L R U 1 f R E w y M T E v Q X V 0 b 1 J l b W 9 2 Z W R D b 2 x 1 b W 5 z M S 5 7 c G / E j W V 0 I G J h b G v D s 2 7 F r y A v I H R l c m F z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V E F C V U x L Q V 9 Q U k 9 E R U p O w 4 1 f U E x P Q 0 h Z X 0 N F T E t F T V 9 E T D I x M S 9 B d X R v U m V t b 3 Z l Z E N v b H V t b n M x L n t T R U t D R S w w f S Z x d W 9 0 O y w m c X V v d D t T Z W N 0 a W 9 u M S 9 U Q U J V T E t B X 1 B S T 0 R F S k 7 D j V 9 Q T E 9 D S F l f Q 0 V M S 0 V N X 0 R M M j E x L 0 F 1 d G 9 S Z W 1 v d m V k Q 2 9 s d W 1 u c z E u e 0 9 a T k H E j E V O w 4 0 s M X 0 m c X V v d D s s J n F 1 b 3 Q 7 U 2 V j d G l v b j E v V E F C V U x L Q V 9 Q U k 9 E R U p O w 4 1 f U E x P Q 0 h Z X 0 N F T E t F T V 9 E T D I x M S 9 B d X R v U m V t b 3 Z l Z E N v b H V t b n M x L n t V x b 1 J V E 7 D g S B Q T E 9 D S E E s M n 0 m c X V v d D s s J n F 1 b 3 Q 7 U 2 V j d G l v b j E v V E F C V U x L Q V 9 Q U k 9 E R U p O w 4 1 f U E x P Q 0 h Z X 0 N F T E t F T V 9 E T D I x M S 9 B d X R v U m V t b 3 Z l Z E N v b H V t b n M x L n t L Q V R F R 0 9 S S U U s M 3 0 m c X V v d D s s J n F 1 b 3 Q 7 U 2 V j d G l v b j E v V E F C V U x L Q V 9 Q U k 9 E R U p O w 4 1 f U E x P Q 0 h Z X 0 N F T E t F T V 9 E T D I x M S 9 B d X R v U m V t b 3 Z l Z E N v b H V t b n M x L n t P U k l F T l R B Q 0 U s N H 0 m c X V v d D s s J n F 1 b 3 Q 7 U 2 V j d G l v b j E v V E F C V U x L Q V 9 Q U k 9 E R U p O w 4 1 f U E x P Q 0 h Z X 0 N F T E t F T V 9 E T D I x M S 9 B d X R v U m V t b 3 Z l Z E N v b H V t b n M x L n t U W V A s N X 0 m c X V v d D s s J n F 1 b 3 Q 7 U 2 V j d G l v b j E v V E F C V U x L Q V 9 Q U k 9 E R U p O w 4 1 f U E x P Q 0 h Z X 0 N F T E t F T V 9 E T D I x M S 9 B d X R v U m V t b 3 Z l Z E N v b H V t b n M x L n t P Q k N I T 0 R O w 4 0 g T 1 p O Q c S M R U 7 D j S w 2 f S Z x d W 9 0 O y w m c X V v d D t T Z W N 0 a W 9 u M S 9 U Q U J V T E t B X 1 B S T 0 R F S k 7 D j V 9 Q T E 9 D S F l f Q 0 V M S 0 V N X 0 R M M j E x L 0 F 1 d G 9 S Z W 1 v d m V k Q 2 9 s d W 1 u c z E u e 1 B P R E x B x b 3 D j S w 3 f S Z x d W 9 0 O y w m c X V v d D t T Z W N 0 a W 9 u M S 9 U Q U J V T E t B X 1 B S T 0 R F S k 7 D j V 9 Q T E 9 D S F l f Q 0 V M S 0 V N X 0 R M M j E x L 0 F 1 d G 9 S Z W 1 v d m V k Q 2 9 s d W 1 u c z E u e 0 R J U 1 B P W k l D R S w 4 f S Z x d W 9 0 O y w m c X V v d D t T Z W N 0 a W 9 u M S 9 U Q U J V T E t B X 1 B S T 0 R F S k 7 D j V 9 Q T E 9 D S F l f Q 0 V M S 0 V N X 0 R M M j E x L 0 F 1 d G 9 S Z W 1 v d m V k Q 2 9 s d W 1 u c z E u e 8 S M U F A s O X 0 m c X V v d D s s J n F 1 b 3 Q 7 U 2 V j d G l v b j E v V E F C V U x L Q V 9 Q U k 9 E R U p O w 4 1 f U E x P Q 0 h Z X 0 N F T E t F T V 9 E T D I x M S 9 B d X R v U m V t b 3 Z l Z E N v b H V t b n M x L n t C Q U x L T 0 4 s M T B 9 J n F 1 b 3 Q 7 L C Z x d W 9 0 O 1 N l Y 3 R p b 2 4 x L 1 R B Q l V M S 0 F f U F J P R E V K T s O N X 1 B M T 0 N I W V 9 D R U x L R U 1 f R E w y M T E v Q X V 0 b 1 J l b W 9 2 Z W R D b 2 x 1 b W 5 z M S 5 7 T E 9 E x b 1 J R S w x M X 0 m c X V v d D s s J n F 1 b 3 Q 7 U 2 V j d G l v b j E v V E F C V U x L Q V 9 Q U k 9 E R U p O w 4 1 f U E x P Q 0 h Z X 0 N F T E t F T V 9 E T D I x M S 9 B d X R v U m V t b 3 Z l Z E N v b H V t b n M x L n t U R V J B U 0 E s M T J 9 J n F 1 b 3 Q 7 L C Z x d W 9 0 O 1 N l Y 3 R p b 2 4 x L 1 R B Q l V M S 0 F f U F J P R E V K T s O N X 1 B M T 0 N I W V 9 D R U x L R U 1 f R E w y M T E v Q X V 0 b 1 J l b W 9 2 Z W R D b 2 x 1 b W 5 z M S 5 7 W k V M R U 7 D g V x u U 1 T F m E V D S E E s M T N 9 J n F 1 b 3 Q 7 L C Z x d W 9 0 O 1 N l Y 3 R p b 2 4 x L 1 R B Q l V M S 0 F f U F J P R E V K T s O N X 1 B M T 0 N I W V 9 D R U x L R U 1 f R E w y M T E v Q X V 0 b 1 J l b W 9 2 Z W R D b 2 x 1 b W 5 z M S 5 7 U M W Y R U Q t I F p B S F L D g U R L Q S w x N H 0 m c X V v d D s s J n F 1 b 3 Q 7 U 2 V j d G l v b j E v V E F C V U x L Q V 9 Q U k 9 E R U p O w 4 1 f U E x P Q 0 h Z X 0 N F T E t F T V 9 E T D I x M S 9 B d X R v U m V t b 3 Z l Z E N v b H V t b n M x L n t w b 8 S N Z X Q g Y m F s a 8 O z b s W v I C 8 g d G V y Y X M s M T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Q U J V T E t B X 1 B S T 0 R F S k 4 l Q z M l O E R f U E x P Q 0 h Z X 0 N F T E t F T V 9 E T D I x M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B Q l V M S 0 F f U F J P R E V K T i V D M y U 4 R F 9 Q T E 9 D S F l f Q 0 V M S 0 V N X 0 R M M j E x L 1 p t J U M 0 J T l C b i V D N C U 5 Q m 4 l Q z M l Q k Q l M j B 0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2 n R 9 6 n K X j 0 O x 5 K C p D U V Z k w A A A A A C A A A A A A A Q Z g A A A A E A A C A A A A C c m a x m m F Q W O 9 7 6 z j Z G k W B b J S Y d p J L C j 1 m P 9 u A O D 9 Y T 3 A A A A A A O g A A A A A I A A C A A A A C u 4 G 5 n 7 Y n 0 B 6 L 0 0 1 k p y C / 7 s r A D a J v C k 0 V P B n 6 W e W n S a V A A A A A j q c D + P f d o A p p Q 6 t F k O 9 y U y 3 F 0 6 g 1 D E 2 Z A K e G F 0 d T n Q H + e M 9 j z 5 x r T 4 h P t I x r h N m D B t v l a m U A v h w 3 4 F 6 I l + X 1 a J C 6 F R S Y y c 0 r B D h w j U y t a A E A A A A A Z J t D g S X X M N / 6 F q 2 Z K 1 w n T E G 8 u d M n v Y H U E + t w i e M e f p x 7 r g z J i c a g O e o T X A G p 9 i q / l H j 4 z Z g c C K A z 2 G j G H 6 M R k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9363ab-709e-47ce-b11c-cbea6b7f33b6" xsi:nil="true"/>
    <lcf76f155ced4ddcb4097134ff3c332f xmlns="91111e47-277c-4b75-a4b3-ac468b86db8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E1D3C5-3C60-4312-BCF9-9C9C5CA1E3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A09A44-EC6E-45A3-96FE-24FB323AC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111e47-277c-4b75-a4b3-ac468b86db83"/>
    <ds:schemaRef ds:uri="a69363ab-709e-47ce-b11c-cbea6b7f33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96C1A3-1C0D-4198-A6E4-60C7971F4BF2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8415FC33-431C-4D09-8417-CD8DFF2F559E}">
  <ds:schemaRefs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91111e47-277c-4b75-a4b3-ac468b86db83"/>
    <ds:schemaRef ds:uri="a69363ab-709e-47ce-b11c-cbea6b7f33b6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</vt:i4>
      </vt:variant>
    </vt:vector>
  </HeadingPairs>
  <TitlesOfParts>
    <vt:vector size="12" baseType="lpstr">
      <vt:lpstr>ZÁKLADNÍ INFO</vt:lpstr>
      <vt:lpstr>vizualizace - stávající stav</vt:lpstr>
      <vt:lpstr>plochy_OFFICE</vt:lpstr>
      <vt:lpstr>HMG</vt:lpstr>
      <vt:lpstr>kalkulace_OFFICE</vt:lpstr>
      <vt:lpstr>kalkulace_VIZE</vt:lpstr>
      <vt:lpstr>zhodnocení investor_VIZE</vt:lpstr>
      <vt:lpstr>HMG!Oblast_tisku</vt:lpstr>
      <vt:lpstr>kalkulace_OFFICE!Oblast_tisku</vt:lpstr>
      <vt:lpstr>kalkulace_VIZE!Oblast_tisku</vt:lpstr>
      <vt:lpstr>plochy_OFFICE!Oblast_tisku</vt:lpstr>
      <vt:lpstr>'ZÁKLADNÍ INFO'!Oblast_tisku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Petr Teply</cp:lastModifiedBy>
  <cp:revision/>
  <cp:lastPrinted>2025-09-23T13:44:38Z</cp:lastPrinted>
  <dcterms:created xsi:type="dcterms:W3CDTF">2025-05-28T06:13:33Z</dcterms:created>
  <dcterms:modified xsi:type="dcterms:W3CDTF">2025-09-26T09:38:47Z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0x01010071F67D72C6A43C4BB825D89CE78E235E</vt:lpwstr>
  </property>
  <property fmtid="{D5CDD505-2E9C-101B-9397-08002B2CF9AE}" pid="3" name="MediaServiceImageTags">
    <vt:lpwstr/>
  </property>
</Properties>
</file>